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Entrées!$A$5:$L$675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<sst xmlns="http://schemas.openxmlformats.org/spreadsheetml/2006/main" count="9248" uniqueCount="3495">
  <si>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</si>
  <si>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</si>
  <si>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</si>
  <si>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</si>
  <si>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</si>
  <si>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</si>
  <si>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</si>
  <si>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</si>
  <si>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</si>
  <si>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</si>
  <si>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</si>
  <si>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</si>
  <si>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</si>
  <si>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</si>
  <si>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</si>
  <si>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</si>
  <si>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</si>
  <si>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</si>
  <si>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</si>
  <si>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</si>
  <si>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</si>
  <si>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</si>
  <si>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</si>
  <si>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</si>
  <si>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</si>
  <si>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</si>
  <si>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</si>
  <si>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</si>
  <si>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</si>
  <si>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</si>
  <si>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</si>
  <si>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</si>
  <si>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</si>
  <si>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</si>
  <si>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</si>
  <si>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</si>
  <si>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</si>
  <si>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</si>
  <si>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</si>
  <si>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</si>
  <si>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</si>
  <si>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</si>
  <si>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</si>
  <si>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</si>
  <si>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</si>
  <si>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</si>
  <si>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</si>
  <si>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</si>
  <si>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</si>
  <si>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</si>
  <si>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</si>
  <si>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</si>
  <si>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</si>
  <si>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</si>
  <si>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</si>
  <si>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</si>
  <si>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</si>
  <si>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</si>
  <si>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</si>
  <si>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</si>
  <si>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</si>
  <si>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</si>
  <si>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</si>
  <si>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</si>
  <si>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</si>
  <si>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</si>
  <si>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</si>
  <si>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</si>
  <si>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</si>
  <si>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</si>
  <si>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</si>
  <si>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</si>
  <si>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</si>
  <si>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</si>
  <si>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</si>
  <si>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</si>
  <si>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</si>
  <si>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</si>
  <si>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</si>
  <si>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</si>
  <si>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</si>
  <si>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</si>
  <si>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</si>
  <si>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</si>
  <si>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</si>
  <si>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</si>
  <si>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670 chiffres versés dans dataroom.is42.fr, état au 10/10/2026.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</si>
  <si>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</si>
  <si>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</si>
  <si>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</si>
  <si>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</si>
  <si>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</si>
  <si>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</si>
  <si>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</si>
  <si>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</si>
  <si>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</si>
  <si>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</si>
  <si>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</si>
  <si>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</si>
  <si>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</si>
  <si>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</si>
  <si>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</si>
  <si>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</si>
  <si>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</si>
  <si>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</si>
  <si>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</si>
  <si>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</si>
  <si>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</si>
  <si>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</si>
  <si>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</si>
  <si>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</si>
  <si>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</si>
  <si>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</si>
  <si>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</si>
  <si>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</si>
  <si>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</si>
  <si>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</si>
  <si>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</si>
  <si>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</si>
  <si>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</si>
  <si>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</si>
  <si>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</si>
  <si>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</si>
  <si>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</si>
  <si>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</si>
  <si>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</si>
  <si>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</si>
  <si>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</si>
  <si>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</si>
  <si>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</si>
  <si>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</si>
  <si>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</si>
  <si>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</si>
  <si>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</si>
  <si>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</si>
  <si>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</si>
  <si>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</si>
  <si>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</si>
  <si>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</si>
  <si>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</si>
  <si>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</si>
  <si>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</si>
  <si>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</si>
  <si>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</si>
  <si>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</si>
  <si>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</si>
  <si>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</si>
  <si>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</si>
  <si>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</si>
  <si>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</si>
  <si>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</si>
  <si>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</si>
  <si>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</si>
  <si>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</si>
  <si>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</si>
  <si>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</si>
  <si>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</si>
  <si>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</si>
  <si>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</si>
  <si>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</si>
  <si>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</si>
  <si>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</si>
  <si>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</si>
  <si>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</si>
  <si>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</si>
  <si>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</si>
  <si>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</si>
  <si>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</si>
  <si>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</si>
  <si>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</si>
  <si>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</si>
  <si>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</si>
  <si>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</si>
  <si>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</si>
  <si>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</si>
  <si>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</si>
  <si>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</si>
  <si>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</si>
  <si>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</si>
  <si>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</si>
  <si>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</si>
  <si>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</si>
  <si>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</si>
  <si>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</si>
  <si>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</si>
  <si>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</si>
  <si>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</si>
  <si>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</si>
  <si>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</si>
  <si>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</si>
  <si>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</si>
  <si>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</si>
  <si>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</si>
  <si>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</si>
  <si>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</si>
  <si>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</si>
  <si>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</si>
  <si>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</si>
  <si>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</si>
  <si>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</si>
  <si>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</si>
  <si>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</si>
  <si>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</si>
  <si>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</si>
  <si>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</si>
  <si>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</si>
  <si>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</si>
  <si>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</si>
  <si>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</si>
  <si>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</si>
  <si>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</si>
  <si>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</si>
  <si>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</si>
  <si>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</si>
  <si>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</si>
  <si>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</si>
  <si>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</si>
  <si>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</si>
  <si>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</si>
  <si>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</si>
  <si>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</si>
  <si>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</si>
  <si>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</si>
  <si>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</si>
  <si>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</si>
  <si>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</si>
  <si>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</si>
  <si>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</si>
  <si>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</si>
  <si>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</si>
  <si>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</si>
  <si>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</si>
  <si>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</si>
  <si>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</si>
  <si>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</si>
  <si>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</si>
  <si>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</si>
  <si>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</si>
  <si>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</si>
  <si>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</si>
  <si>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</si>
  <si>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</si>
  <si>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</si>
  <si>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</si>
  <si>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</si>
  <si>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</si>
  <si>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</si>
  <si>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</si>
  <si>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</si>
  <si>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</si>
  <si>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</si>
  <si>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</si>
  <si>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</si>
  <si>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</si>
  <si>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</si>
  <si>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</si>
  <si>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</si>
  <si>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</si>
  <si>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</si>
  <si>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</si>
  <si>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</si>
  <si>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</si>
  <si>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</si>
  <si>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</si>
  <si>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</si>
  <si>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</si>
  <si>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</si>
  <si>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</si>
  <si>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</si>
  <si>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</si>
  <si>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</si>
  <si>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</si>
  <si>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</si>
  <si>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</si>
  <si>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</si>
  <si>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</si>
  <si>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</si>
  <si>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</si>
  <si>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</si>
  <si>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</si>
  <si>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</si>
  <si>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</si>
  <si>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</si>
  <si>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</si>
  <si>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</si>
  <si>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</si>
  <si>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</si>
  <si>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</si>
  <si>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</si>
  <si>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</si>
  <si>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</si>
  <si>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</si>
  <si>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</si>
  <si>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</si>
  <si>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</si>
  <si>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</si>
  <si>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</si>
  <si>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</si>
  <si>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</si>
  <si>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</si>
  <si>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</si>
  <si>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</si>
  <si>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</si>
  <si>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</si>
  <si>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</si>
  <si>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</si>
  <si>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</si>
  <si>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</si>
  <si>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</si>
  <si>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</si>
  <si>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</si>
  <si>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</si>
  <si>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</si>
  <si>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</si>
  <si>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</si>
  <si>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</si>
  <si>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</si>
  <si>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</si>
  <si>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</si>
  <si>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</si>
  <si>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</si>
  <si>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</si>
  <si>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</si>
  <si>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</si>
  <si>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</si>
  <si>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</si>
  <si>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</si>
  <si>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</si>
  <si>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</si>
  <si>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</si>
  <si>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</si>
  <si>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</si>
  <si>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</si>
  <si>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</si>
  <si>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</si>
  <si>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</si>
  <si>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</si>
  <si>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</si>
  <si>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</si>
  <si>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</si>
  <si>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</si>
  <si>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</si>
  <si>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</si>
  <si>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</si>
  <si>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</si>
  <si>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</si>
  <si>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</si>
  <si>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</si>
  <si>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</si>
  <si>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</si>
  <si>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</si>
  <si>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</si>
  <si>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</si>
  <si>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</si>
  <si>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</si>
  <si>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</si>
  <si>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</si>
  <si>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</si>
  <si>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</si>
  <si>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</si>
  <si>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</si>
  <si>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</si>
  <si>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</si>
  <si>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</si>
  <si>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</si>
  <si>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</si>
  <si>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</si>
  <si>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</si>
  <si>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</si>
  <si>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</si>
  <si>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</si>
  <si>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</si>
  <si>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</si>
  <si>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</si>
  <si>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</si>
  <si>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</si>
  <si>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</si>
  <si>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</si>
  <si>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</si>
  <si>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</si>
  <si>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</si>
  <si>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</si>
  <si>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</si>
  <si>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</si>
  <si>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</si>
  <si>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</si>
  <si>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</si>
  <si>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</si>
  <si>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</si>
  <si>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</si>
  <si>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</si>
  <si>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</si>
  <si>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</si>
  <si>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</si>
  <si>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</si>
  <si>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</si>
  <si>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</si>
  <si>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</si>
  <si>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</si>
  <si>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</si>
  <si>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</si>
  <si>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</si>
  <si>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</si>
  <si>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</si>
  <si>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</si>
  <si>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</si>
  <si>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</si>
  <si>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</si>
  <si>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</si>
  <si>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</si>
  <si>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</si>
  <si>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</si>
  <si>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</si>
  <si>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</si>
  <si>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</si>
  <si>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</si>
  <si>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</si>
  <si>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</si>
  <si>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</si>
  <si>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</si>
  <si>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</si>
  <si>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</si>
  <si>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</si>
  <si>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</si>
  <si>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</si>
  <si>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</si>
  <si>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</si>
  <si>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</si>
  <si>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</si>
  <si>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</si>
  <si>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</si>
  <si>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</si>
  <si>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</si>
  <si>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</si>
  <si>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</si>
  <si>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</si>
  <si>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</si>
  <si>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</si>
  <si>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</si>
  <si>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</si>
  <si>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</si>
  <si>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</si>
  <si>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</si>
  <si>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</si>
  <si>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</si>
  <si>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</si>
  <si>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</si>
  <si>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</si>
  <si>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</si>
  <si>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</si>
  <si>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</si>
  <si>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</si>
  <si>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</si>
  <si>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</si>
  <si>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</si>
  <si>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</si>
  <si>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</si>
  <si>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</si>
  <si>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</si>
  <si>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</si>
  <si>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</si>
  <si>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</si>
  <si>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</si>
  <si>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</si>
  <si>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</si>
  <si>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</si>
  <si>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</si>
  <si>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</si>
  <si>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</si>
  <si>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</si>
  <si>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</si>
  <si>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</si>
  <si>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</si>
  <si>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</si>
  <si>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</si>
  <si>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</si>
  <si>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</si>
  <si>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</si>
  <si>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</si>
  <si>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</si>
  <si>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</si>
  <si>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</si>
  <si>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</si>
  <si>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</si>
  <si>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</si>
  <si>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</si>
  <si>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</si>
  <si>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</si>
  <si>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</si>
  <si>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</si>
  <si>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</si>
  <si>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</si>
  <si>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</si>
  <si>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</si>
  <si>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</si>
  <si>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</si>
  <si>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</si>
  <si>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</si>
  <si>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</si>
  <si>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</si>
  <si>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</si>
  <si>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</si>
  <si>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</si>
  <si>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</si>
  <si>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</si>
  <si>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</si>
  <si>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</si>
  <si>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</si>
  <si>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</si>
  <si>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</si>
  <si>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</si>
  <si>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</si>
  <si>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</si>
  <si>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</si>
  <si>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</si>
  <si>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</si>
  <si>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</si>
  <si>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</si>
  <si>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</si>
  <si>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</si>
  <si>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</si>
  <si>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</si>
  <si>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</si>
  <si>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</si>
  <si>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</si>
  <si>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</si>
  <si>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</si>
  <si>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</si>
  <si>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</si>
  <si>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</si>
  <si>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</si>
  <si>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</si>
  <si>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</si>
  <si>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</si>
  <si>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</si>
  <si>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</si>
  <si>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</si>
  <si>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</si>
  <si>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</si>
  <si>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</si>
  <si>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</si>
  <si>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</si>
  <si>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</si>
  <si>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</si>
  <si>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</si>
  <si>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</si>
  <si>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</si>
  <si>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</si>
  <si>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</si>
  <si>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</si>
  <si>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</si>
  <si>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</si>
  <si>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</si>
  <si>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</si>
  <si>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</si>
  <si>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</si>
  <si>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</si>
  <si>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</si>
  <si>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</si>
  <si>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</si>
  <si>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</si>
  <si>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</si>
  <si>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</si>
  <si>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</si>
  <si>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</si>
  <si>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</si>
  <si>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</si>
  <si>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</si>
  <si>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</si>
  <si>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</si>
  <si>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</si>
  <si>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</si>
  <si>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</si>
  <si>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</si>
  <si>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</si>
  <si>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</si>
  <si>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</si>
  <si>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</si>
  <si>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</si>
  <si>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</si>
  <si>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</si>
  <si>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</si>
  <si>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</si>
  <si>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</si>
  <si>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</si>
  <si>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</si>
  <si>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</si>
  <si>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</si>
  <si>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</si>
  <si>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</si>
  <si>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</si>
  <si>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</si>
  <si>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</si>
  <si>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</si>
  <si>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</si>
  <si>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</si>
  <si>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</si>
  <si>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</si>
  <si>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</si>
  <si>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</si>
  <si>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</si>
  <si>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</si>
  <si>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</si>
  <si>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</si>
  <si>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</si>
  <si>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</si>
  <si>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</si>
  <si>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</si>
  <si>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</si>
  <si>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</si>
  <si>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</si>
  <si>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</si>
  <si>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</si>
  <si>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</si>
  <si>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</si>
  <si>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</si>
  <si>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</si>
  <si>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</si>
  <si>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</si>
  <si>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</si>
  <si>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</si>
  <si>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</si>
  <si>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</si>
  <si>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</si>
  <si>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</si>
  <si>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</si>
  <si>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</si>
  <si>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</si>
  <si>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</si>
  <si>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</si>
  <si>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</si>
  <si>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</si>
  <si>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</si>
  <si>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</si>
  <si>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</si>
  <si>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</si>
  <si>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</si>
  <si>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</si>
  <si>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</si>
  <si>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</si>
  <si>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</si>
  <si>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</si>
  <si>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</si>
  <si>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</si>
  <si>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</si>
  <si>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</si>
  <si>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</si>
  <si>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</si>
  <si>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</si>
  <si>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</si>
  <si>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</si>
  <si>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</si>
  <si>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</si>
  <si>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</si>
  <si>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</si>
  <si>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</si>
  <si>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</si>
  <si>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</si>
  <si>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</si>
  <si>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</si>
  <si>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</si>
  <si>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</si>
  <si>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</si>
  <si>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</si>
  <si>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</si>
  <si>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</si>
  <si>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</si>
  <si>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</si>
  <si>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</si>
  <si>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</si>
  <si>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</si>
  <si>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</si>
  <si>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</si>
  <si>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</si>
  <si>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</si>
  <si>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</si>
  <si>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</si>
  <si>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</si>
  <si>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</si>
  <si>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</si>
  <si>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</si>
  <si>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</si>
  <si>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</si>
  <si>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</si>
  <si>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</si>
  <si>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</si>
  <si>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</si>
  <si>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</si>
  <si>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</si>
  <si>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</si>
  <si>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</si>
  <si>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</si>
  <si>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</si>
  <si>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</si>
  <si>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</si>
  <si>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</si>
  <si>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</si>
  <si>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</si>
  <si>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</si>
  <si>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</si>
  <si>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</si>
  <si>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</si>
  <si>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</si>
  <si>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</si>
  <si>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</si>
  <si>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</si>
  <si>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</si>
  <si>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</si>
  <si>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</si>
  <si>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</si>
  <si>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</si>
  <si>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</si>
  <si>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</si>
  <si>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</si>
  <si>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</si>
  <si>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</si>
  <si>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</si>
  <si>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</si>
  <si>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</si>
  <si>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</si>
  <si>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</si>
  <si>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</si>
  <si>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</si>
  <si>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</si>
  <si>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</si>
  <si>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</si>
  <si>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</si>
  <si>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</si>
  <si>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</si>
  <si>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</si>
  <si>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</si>
  <si>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</si>
  <si>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</si>
  <si>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</si>
  <si>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</si>
  <si>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</si>
  <si>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</si>
  <si>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</si>
  <si>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</si>
  <si>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</si>
  <si>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</si>
  <si>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</si>
  <si>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</si>
  <si>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</si>
  <si>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</si>
  <si>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</si>
  <si>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</si>
  <si>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</si>
  <si>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</si>
  <si>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</si>
  <si>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</si>
  <si>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</si>
  <si>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</si>
  <si>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</si>
  <si>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</si>
  <si>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</si>
  <si>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</si>
  <si>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</si>
  <si>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</si>
  <si>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</si>
  <si>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</si>
  <si>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</si>
  <si>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</si>
  <si>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</si>
  <si>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</si>
  <si>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</si>
  <si>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</si>
  <si>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</si>
  <si>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</si>
  <si>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</si>
  <si>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</si>
  <si>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</si>
  <si>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</si>
  <si>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</si>
  <si>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</si>
  <si>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</si>
  <si>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</si>
  <si>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</si>
  <si>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</si>
  <si>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</si>
  <si>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</si>
  <si>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</si>
  <si>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</si>
  <si>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</si>
  <si>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</si>
  <si>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</si>
  <si>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</si>
  <si>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</si>
  <si>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</si>
  <si>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</si>
  <si>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</si>
  <si>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</si>
  <si>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</si>
  <si>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</si>
  <si>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</si>
  <si>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</si>
  <si>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</si>
  <si>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</si>
  <si>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</si>
  <si>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</si>
  <si>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</si>
  <si>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</si>
  <si>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</si>
  <si>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</si>
  <si>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</si>
  <si>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</si>
  <si>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</si>
  <si>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</si>
  <si>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</si>
  <si>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</si>
  <si>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</si>
  <si>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</si>
  <si>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</si>
  <si>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</si>
  <si>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</si>
  <si>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</si>
  <si>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</si>
  <si>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</si>
  <si>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</si>
  <si>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</si>
  <si>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</si>
  <si>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</si>
  <si>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</si>
  <si>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</si>
  <si>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</si>
  <si>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</si>
  <si>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</si>
  <si>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</si>
  <si>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</si>
  <si>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</si>
  <si>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</si>
  <si>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</si>
  <si>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</si>
  <si>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</si>
  <si>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</si>
  <si>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</si>
  <si>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</si>
  <si>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</si>
  <si>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</si>
  <si>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</si>
  <si>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</si>
  <si>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</si>
  <si>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</si>
  <si>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</si>
  <si>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</si>
  <si>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</si>
  <si>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</si>
  <si>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</si>
  <si>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</si>
  <si>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</si>
  <si>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</si>
  <si>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</si>
  <si>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</si>
  <si>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</si>
  <si>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</si>
  <si>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</si>
  <si>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</si>
  <si>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</si>
  <si>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</si>
  <si>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</si>
  <si>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</si>
  <si>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</si>
  <si>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</si>
  <si>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</si>
  <si>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</si>
  <si>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</si>
  <si>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</si>
  <si>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</si>
  <si>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</si>
  <si>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</si>
  <si>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</si>
  <si>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</si>
  <si>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</si>
  <si>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</si>
  <si>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</si>
  <si>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</si>
  <si>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</si>
  <si>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</si>
  <si>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</si>
  <si>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</si>
  <si>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</si>
  <si>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</si>
  <si>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</si>
  <si>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</si>
  <si>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</si>
  <si>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</si>
  <si>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</si>
  <si>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</si>
  <si>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</si>
  <si>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</si>
  <si>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</si>
  <si>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</si>
  <si>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</si>
  <si>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</si>
  <si>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</si>
  <si>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</si>
  <si>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</si>
  <si>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</si>
  <si>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</si>
  <si>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</si>
  <si>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</si>
  <si>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</si>
  <si>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</si>
  <si>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</si>
  <si>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</si>
  <si>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</si>
  <si>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</si>
  <si>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</si>
  <si>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</si>
  <si>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</si>
  <si>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</si>
  <si>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</si>
  <si>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</si>
  <si>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</si>
  <si>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</si>
  <si>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</si>
  <si>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</si>
  <si>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</si>
  <si>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</si>
  <si>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</si>
  <si>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</si>
  <si>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</si>
  <si>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</si>
  <si>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</si>
  <si>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</si>
  <si>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</si>
  <si>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</si>
  <si>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</si>
  <si>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</si>
  <si>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</si>
  <si>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</si>
  <si>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</si>
  <si>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</si>
  <si>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</si>
  <si>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</si>
  <si>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</si>
  <si>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</si>
  <si>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</si>
  <si>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</si>
  <si>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</si>
  <si>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</si>
  <si>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</si>
  <si>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</si>
  <si>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</si>
  <si>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</si>
  <si>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</si>
  <si>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</si>
  <si>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</si>
  <si>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</si>
  <si>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</si>
  <si>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</si>
  <si>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</si>
  <si>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</si>
  <si>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</si>
  <si>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</si>
  <si>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</si>
  <si>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</si>
  <si>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</si>
  <si>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</si>
  <si>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</si>
  <si>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</si>
  <si>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</si>
  <si>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</si>
  <si>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</si>
  <si>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</si>
  <si>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</si>
  <si>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</si>
  <si>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</si>
  <si>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</si>
  <si>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</si>
  <si>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</si>
  <si>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</si>
  <si>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</si>
  <si>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</si>
  <si>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</si>
  <si>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</si>
  <si>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</si>
  <si>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</si>
  <si>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</si>
  <si>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</si>
  <si>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</si>
  <si>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</si>
  <si>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</si>
  <si>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</si>
  <si>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</si>
  <si>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</si>
  <si>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</si>
  <si>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</si>
  <si>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</si>
  <si>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</si>
  <si>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</si>
  <si>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</si>
  <si>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</si>
  <si>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</si>
  <si>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</si>
  <si>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</si>
  <si>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</si>
  <si>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</si>
  <si>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</si>
  <si>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</si>
  <si>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</si>
  <si>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</si>
  <si>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</si>
  <si>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</si>
  <si>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</si>
  <si>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</si>
  <si>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</si>
  <si>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</si>
  <si>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</si>
  <si>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</si>
  <si>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</si>
  <si>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</si>
  <si>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</si>
  <si>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</si>
  <si>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</si>
  <si>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</si>
  <si>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</si>
  <si>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</si>
  <si>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</si>
  <si>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</si>
  <si>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</si>
  <si>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</si>
  <si>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</si>
  <si>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</si>
  <si>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</si>
  <si>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</si>
  <si>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</si>
  <si>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</si>
  <si>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</si>
  <si>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</si>
  <si>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</si>
  <si>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</si>
  <si>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</si>
  <si>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</si>
  <si>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</si>
  <si>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</si>
  <si>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</si>
  <si>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</si>
  <si>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</si>
  <si>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</si>
  <si>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</si>
  <si>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</si>
  <si>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</si>
  <si>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</si>
  <si>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</si>
  <si>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</si>
  <si>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</si>
  <si>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</si>
  <si>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</si>
  <si>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</si>
  <si>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</si>
  <si>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</si>
  <si>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</si>
  <si>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</si>
  <si>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</si>
  <si>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</si>
  <si>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</si>
  <si>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</si>
  <si>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</si>
  <si>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</si>
  <si>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</si>
  <si>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</si>
  <si>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</si>
  <si>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</si>
  <si>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</si>
  <si>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</si>
  <si>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</si>
  <si>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</si>
  <si>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</si>
  <si>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</si>
  <si>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</si>
  <si>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</si>
  <si>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</si>
  <si>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</si>
  <si>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</si>
  <si>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</si>
  <si>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</si>
  <si>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</si>
  <si>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</si>
  <si>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</si>
  <si>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</si>
  <si>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</si>
  <si>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</si>
  <si>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</si>
  <si>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</si>
  <si>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</si>
  <si>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</si>
  <si>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</si>
  <si>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</si>
  <si>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</si>
  <si>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</si>
  <si>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</si>
  <si>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</si>
  <si>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</si>
  <si>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</si>
  <si>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</si>
  <si>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</si>
  <si>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</si>
  <si>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</si>
  <si>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</si>
  <si>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</si>
  <si>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</si>
  <si>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</si>
  <si>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</si>
  <si>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</si>
  <si>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</si>
  <si>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</si>
  <si>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</si>
  <si>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</si>
  <si>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</si>
  <si>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</si>
  <si>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</si>
  <si>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</si>
  <si>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</si>
  <si>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</si>
  <si>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</si>
  <si>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</si>
  <si>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</si>
  <si>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</si>
  <si>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</si>
  <si>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</si>
  <si>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</si>
  <si>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</si>
  <si>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</si>
  <si>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</si>
  <si>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</si>
  <si>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</si>
  <si>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</si>
  <si>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</si>
  <si>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</si>
  <si>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</si>
  <si>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</si>
  <si>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</si>
  <si>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</si>
  <si>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</si>
  <si>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</si>
  <si>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</si>
  <si>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</si>
  <si>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</si>
  <si>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</si>
  <si>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</si>
  <si>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</si>
  <si>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</si>
  <si>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</si>
  <si>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</si>
  <si>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</si>
  <si>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</si>
  <si>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</si>
  <si>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</si>
  <si>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</si>
  <si>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</si>
  <si>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</si>
  <si>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</si>
  <si>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</si>
  <si>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</si>
  <si>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</si>
  <si>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</si>
  <si>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</si>
  <si>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</si>
  <si>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</si>
  <si>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</si>
  <si>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</si>
  <si>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</si>
  <si>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</si>
  <si>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</si>
  <si>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</si>
  <si>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</si>
  <si>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</si>
  <si>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</si>
  <si>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</si>
  <si>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</si>
  <si>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</si>
  <si>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</si>
  <si>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</si>
  <si>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</si>
  <si>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</si>
  <si>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</si>
  <si>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</si>
  <si>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</si>
  <si>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</si>
  <si>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</si>
  <si>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</si>
  <si>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</si>
  <si>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</si>
  <si>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</si>
  <si>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</si>
  <si>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</si>
  <si>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</si>
  <si>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</si>
  <si>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</si>
  <si>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</si>
  <si>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</si>
  <si>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</si>
  <si>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</si>
  <si>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</si>
  <si>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</si>
  <si>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</si>
  <si>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</si>
  <si>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</si>
  <si>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</si>
  <si>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</si>
  <si>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</si>
  <si>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</si>
  <si>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</si>
  <si>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</si>
  <si>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</si>
  <si>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</si>
  <si>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</si>
  <si>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</si>
  <si>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</si>
  <si>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</si>
  <si>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</si>
  <si>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</si>
  <si>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</si>
  <si>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</si>
  <si>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</si>
  <si>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</si>
  <si>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</si>
  <si>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</si>
  <si>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</si>
  <si>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</si>
  <si>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</si>
  <si>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</si>
  <si>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</si>
  <si>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</si>
  <si>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</si>
  <si>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</si>
  <si>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</si>
  <si>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</si>
  <si>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</si>
  <si>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</si>
  <si>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</si>
  <si>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</si>
  <si>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</si>
  <si>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</si>
  <si>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</si>
  <si>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</si>
  <si>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</si>
  <si>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</si>
  <si>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</si>
  <si>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</si>
  <si>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</si>
  <si>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</si>
  <si>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</si>
  <si>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</si>
  <si>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</si>
  <si>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</si>
  <si>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</si>
  <si>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</si>
  <si>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</si>
  <si>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</si>
  <si>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</si>
  <si>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</si>
  <si>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</si>
  <si>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</si>
  <si>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</si>
  <si>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</si>
  <si>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</si>
  <si>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</si>
  <si>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</si>
  <si>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</si>
  <si>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</si>
  <si>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</si>
  <si>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</si>
  <si>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</si>
  <si>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</si>
  <si>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</si>
  <si>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</si>
  <si>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</si>
  <si>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</si>
  <si>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</si>
  <si>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</si>
  <si>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</si>
  <si>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</si>
  <si>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</si>
  <si>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</si>
  <si>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</si>
  <si>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</si>
  <si>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</si>
  <si>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</si>
  <si>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</si>
  <si>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</si>
  <si>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</si>
  <si>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</si>
  <si>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</si>
  <si>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</si>
  <si>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</si>
  <si>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</si>
  <si>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</si>
  <si>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</si>
  <si>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</si>
  <si>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</si>
  <si>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</si>
  <si>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</si>
  <si>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</si>
  <si>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</si>
  <si>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</si>
  <si>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</si>
  <si>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</si>
  <si>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</si>
  <si>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</si>
  <si>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</si>
  <si>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</si>
  <si>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</si>
  <si>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</si>
  <si>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</si>
  <si>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</si>
  <si>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</si>
  <si>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</si>
  <si>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</si>
  <si>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</si>
  <si>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</si>
  <si>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</si>
  <si>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</si>
  <si>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</si>
  <si>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</si>
  <si>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</si>
  <si>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</si>
  <si>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</si>
  <si>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</si>
  <si>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</si>
  <si>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</si>
  <si>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</si>
  <si>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</si>
  <si>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</si>
  <si>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</si>
  <si>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</si>
  <si>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</si>
  <si>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</si>
  <si>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</si>
  <si>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</si>
  <si>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</si>
  <si>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</si>
  <si>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</si>
  <si>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</si>
  <si>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</si>
  <si>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</si>
  <si>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</si>
  <si>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</si>
  <si>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</si>
  <si>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</si>
  <si>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</si>
  <si>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</si>
  <si>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</si>
  <si>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</si>
  <si>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</si>
  <si>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</si>
  <si>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</si>
  <si>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</si>
  <si>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</si>
  <si>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</si>
  <si>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</si>
  <si>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</si>
  <si>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</si>
  <si>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</si>
  <si>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</si>
  <si>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</si>
  <si>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</si>
  <si>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</si>
  <si>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</si>
  <si>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</si>
  <si>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</si>
  <si>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</si>
  <si>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</si>
  <si>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</si>
  <si>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</si>
  <si>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</si>
  <si>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</si>
  <si>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</si>
  <si>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</si>
  <si>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</si>
  <si>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</si>
  <si>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</si>
  <si>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</si>
  <si>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</si>
  <si>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</si>
  <si>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</si>
  <si>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</si>
  <si>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</si>
  <si>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</si>
  <si>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</si>
  <si>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</si>
  <si>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</si>
  <si>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</si>
  <si>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</si>
  <si>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</si>
  <si>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</si>
  <si>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</si>
  <si>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</si>
  <si>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</si>
  <si>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</si>
  <si>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</si>
  <si>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</si>
  <si>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</si>
  <si>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</si>
  <si>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</si>
  <si>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</si>
  <si>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</si>
  <si>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</si>
  <si>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</si>
  <si>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</si>
  <si>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</si>
  <si>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</si>
  <si>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</si>
  <si>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</si>
  <si>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</si>
  <si>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</si>
  <si>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</si>
  <si>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</si>
  <si>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</si>
  <si>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</si>
  <si>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</si>
  <si>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</si>
  <si>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</si>
  <si>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</si>
  <si>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</si>
  <si>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</si>
  <si>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</si>
  <si>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</si>
  <si>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</si>
  <si>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</si>
  <si>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</si>
  <si>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</si>
  <si>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</si>
  <si>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</si>
  <si>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</si>
  <si>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</si>
  <si>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</si>
  <si>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</si>
  <si>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</si>
  <si>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</si>
  <si>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</si>
  <si>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</si>
  <si>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</si>
  <si>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</si>
  <si>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</si>
  <si>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</si>
  <si>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</si>
  <si>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</si>
  <si>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</si>
  <si>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</si>
  <si>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</si>
  <si>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</si>
  <si>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</si>
  <si>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</si>
  <si>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</si>
  <si>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</si>
  <si>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</si>
  <si>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</si>
  <si>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</si>
  <si>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</si>
  <si>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</si>
  <si>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</si>
  <si>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</si>
  <si>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</si>
  <si>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</si>
  <si>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</si>
  <si>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</si>
  <si>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</si>
  <si>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</si>
  <si>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</si>
  <si>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</si>
  <si>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</si>
  <si>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</si>
  <si>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</si>
  <si>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</si>
  <si>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</si>
  <si>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</si>
  <si>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</si>
  <si>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</si>
  <si>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</si>
  <si>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</si>
  <si>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</si>
  <si>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</si>
  <si>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</si>
  <si>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</si>
  <si>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</si>
  <si>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</si>
  <si>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</si>
  <si>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</si>
  <si>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</si>
  <si>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</si>
  <si>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</si>
  <si>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</si>
  <si>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</si>
  <si>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</si>
  <si>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</si>
  <si>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</si>
  <si>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</si>
  <si>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</si>
  <si>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</si>
  <si>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</si>
  <si>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</si>
  <si>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</si>
  <si>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</si>
  <si>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</si>
  <si>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</si>
  <si>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</si>
  <si>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</si>
  <si>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</si>
  <si>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</si>
  <si>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</si>
  <si>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</si>
  <si>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</si>
  <si>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</si>
  <si>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</si>
  <si>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</si>
  <si>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</si>
  <si>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</si>
  <si>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</si>
  <si>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</si>
  <si>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</si>
  <si>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</si>
  <si>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</si>
  <si>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</si>
  <si>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</si>
  <si>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</si>
  <si>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</si>
  <si>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</si>
  <si>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</si>
  <si>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</si>
  <si>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</si>
  <si>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</si>
  <si>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</si>
  <si>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</si>
  <si>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</si>
  <si>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</si>
  <si>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</si>
  <si>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</si>
  <si>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</si>
  <si>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</si>
  <si>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</si>
  <si>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</si>
  <si>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</si>
  <si>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</si>
  <si>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</si>
  <si>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</si>
  <si>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</si>
  <si>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</si>
  <si>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</si>
  <si>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</si>
  <si>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</si>
  <si>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</si>
  <si>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</si>
  <si>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</si>
  <si>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</si>
  <si>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</si>
  <si>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</si>
  <si>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</si>
  <si>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</si>
  <si>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</si>
  <si>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</si>
  <si>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</si>
  <si>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</si>
  <si>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</si>
  <si>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</si>
  <si>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</si>
  <si>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</si>
  <si>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</si>
  <si>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</si>
  <si>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</si>
  <si>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</si>
  <si>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</si>
  <si>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</si>
  <si>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</si>
  <si>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</si>
  <si>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</si>
  <si>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</si>
  <si>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</si>
  <si>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</si>
  <si>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</si>
  <si>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</si>
  <si>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</si>
  <si>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</si>
  <si>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</si>
  <si>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</si>
  <si>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</si>
  <si>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</si>
  <si>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</si>
  <si>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</si>
  <si>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</si>
  <si>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</si>
  <si>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</si>
  <si>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</si>
  <si>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</si>
  <si>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</si>
  <si>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</si>
  <si>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</si>
  <si>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</si>
  <si>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</si>
  <si>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</si>
  <si>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</si>
  <si>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</si>
  <si>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</si>
  <si>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</si>
  <si>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</si>
  <si>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</si>
  <si>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</si>
  <si>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</si>
  <si>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</si>
  <si>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</si>
  <si>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</si>
  <si>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</si>
  <si>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</si>
  <si>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</si>
  <si>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</si>
  <si>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</si>
  <si>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</si>
  <si>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</si>
  <si>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</si>
  <si>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</si>
  <si>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</si>
  <si>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</si>
  <si>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</si>
  <si>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</si>
  <si>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</si>
  <si>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</si>
  <si>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</si>
  <si>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</si>
  <si>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</si>
  <si>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</si>
  <si>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</si>
  <si>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</si>
  <si>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</si>
  <si>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</si>
  <si>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</si>
  <si>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</si>
  <si>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</si>
  <si>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</si>
  <si>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</si>
  <si>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</si>
  <si>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</si>
  <si>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</si>
  <si>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</si>
  <si>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</si>
  <si>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</si>
  <si>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</si>
  <si>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</si>
  <si>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</si>
  <si>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</si>
  <si>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</si>
  <si>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</si>
  <si>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</si>
  <si>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</si>
  <si>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</si>
  <si>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</si>
  <si>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</si>
  <si>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</si>
  <si>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</si>
  <si>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</si>
  <si>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</si>
  <si>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</si>
  <si>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</si>
  <si>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</si>
  <si>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</si>
  <si>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</si>
  <si>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</si>
  <si>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</si>
  <si>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</si>
  <si>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</si>
  <si>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</si>
  <si>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</si>
  <si>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</si>
  <si>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</si>
  <si>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</si>
  <si>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</si>
  <si>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</si>
  <si>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</si>
  <si>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</si>
  <si>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</si>
  <si>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</si>
  <si>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</si>
  <si>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</si>
  <si>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</si>
  <si>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</si>
  <si>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</si>
  <si>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</si>
  <si>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</si>
  <si>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</si>
  <si>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</si>
  <si>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</si>
  <si>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</si>
  <si>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</si>
  <si>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</si>
  <si>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</si>
  <si>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</si>
  <si>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</si>
  <si>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</si>
  <si>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</si>
  <si>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</si>
  <si>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</si>
  <si>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</si>
  <si>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</si>
  <si>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</si>
  <si>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</si>
  <si>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</si>
  <si>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</si>
  <si>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</si>
  <si>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</si>
  <si>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</si>
  <si>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</si>
  <si>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</si>
  <si>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</si>
  <si>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</si>
  <si>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</si>
  <si>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</si>
  <si>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</si>
  <si>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</si>
  <si>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</si>
  <si>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</si>
  <si>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</si>
  <si>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</si>
  <si>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</si>
  <si>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</si>
  <si>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</si>
  <si>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</si>
  <si>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</si>
  <si>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</si>
  <si>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</si>
  <si>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</si>
  <si>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</si>
  <si>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</si>
  <si>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</si>
  <si>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</si>
  <si>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</si>
  <si>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</si>
  <si>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</si>
  <si>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</si>
  <si>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</si>
  <si>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</si>
  <si>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</si>
  <si>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</si>
  <si>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</si>
  <si>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</si>
  <si>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</si>
  <si>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</si>
  <si>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</si>
  <si>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</si>
  <si>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</si>
  <si>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</si>
  <si>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</si>
  <si>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</si>
  <si>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</si>
  <si>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</si>
  <si>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</si>
  <si>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</si>
  <si>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</si>
  <si>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</si>
  <si>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</si>
  <si>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</si>
  <si>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</si>
  <si>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</si>
  <si>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</si>
  <si>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</si>
  <si>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</si>
  <si>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</si>
  <si>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</si>
  <si>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</si>
  <si>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</si>
  <si>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</si>
  <si>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</si>
  <si>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</si>
  <si>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</si>
  <si>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</si>
  <si>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</si>
  <si>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</si>
  <si>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</si>
  <si>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</si>
  <si>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</si>
  <si>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</si>
  <si>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</si>
  <si>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</si>
  <si>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</si>
  <si>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</si>
  <si>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</si>
  <si>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</si>
  <si>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</si>
  <si>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</si>
  <si>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</si>
  <si>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</si>
  <si>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</si>
  <si>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</si>
  <si>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</si>
  <si>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</si>
  <si>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</si>
  <si>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</si>
  <si>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</si>
  <si>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</si>
  <si>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</si>
  <si>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</si>
  <si>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</si>
  <si>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</si>
  <si>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</si>
  <si>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</si>
  <si>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</si>
  <si>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</si>
  <si>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</si>
  <si>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</si>
  <si>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</si>
  <si>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</si>
  <si>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</si>
  <si>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</si>
  <si>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</si>
  <si>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</si>
  <si>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</si>
  <si>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</si>
  <si>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</si>
  <si>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</si>
  <si>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</si>
  <si>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</si>
  <si>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</si>
  <si>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</si>
  <si>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</si>
  <si>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</si>
  <si>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</si>
  <si>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</si>
  <si>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</si>
  <si>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</si>
  <si>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</si>
  <si>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</si>
  <si>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</si>
  <si>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</si>
  <si>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</si>
  <si>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</si>
  <si>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</si>
  <si>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</si>
  <si>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</si>
  <si>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</si>
  <si>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</si>
  <si>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</si>
  <si>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</si>
  <si>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</si>
  <si>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</si>
  <si>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</si>
  <si>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</si>
  <si>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</si>
  <si>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</si>
  <si>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</si>
  <si>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</si>
  <si>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</si>
  <si>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</si>
  <si>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</si>
  <si>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</si>
  <si>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</si>
  <si>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</si>
  <si>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</si>
  <si>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</si>
  <si>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</si>
  <si>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</si>
  <si>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</si>
  <si>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</si>
  <si>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</si>
  <si>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</si>
  <si>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</si>
  <si>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</si>
  <si>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</si>
  <si>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</si>
  <si>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</si>
  <si>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</si>
  <si>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</si>
  <si>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</si>
  <si>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</si>
  <si>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</si>
  <si>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</si>
  <si>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</si>
  <si>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</si>
  <si>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</si>
  <si>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</si>
  <si>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</si>
  <si>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</si>
  <si>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</si>
  <si>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</si>
  <si>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</si>
  <si>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</si>
  <si>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</si>
  <si>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</si>
  <si>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</si>
  <si>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</si>
  <si>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</si>
  <si>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</si>
  <si>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</si>
  <si>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</si>
  <si>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</si>
  <si>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</si>
  <si>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</si>
  <si>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</si>
  <si>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</si>
  <si>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</si>
  <si>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</si>
  <si>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</si>
  <si>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</si>
  <si>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</si>
  <si>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</si>
  <si>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</si>
  <si>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</si>
  <si>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</si>
  <si>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</si>
  <si>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</si>
  <si>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</si>
  <si>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</si>
  <si>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</si>
  <si>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</si>
  <si>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</si>
  <si>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</si>
  <si>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</si>
  <si>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</si>
  <si>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</si>
  <si>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</si>
  <si>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</si>
  <si>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</si>
  <si>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</si>
  <si>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</si>
  <si>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</si>
  <si>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</si>
  <si>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F616</t>
  </si>
  <si>
    <t xml:space="preserve">Seaside Equity Partners : EBITDA visé pour une plateforme (fonds Flagship), bas</t>
  </si>
  <si>
    <t xml:space="preserve">critères 2026</t>
  </si>
  <si>
    <t xml:space="preserve">05_Commercial_Strategy/seaside-criteres-2026-10-07.html</t>
  </si>
  <si>
    <t xml:space="preserve">https://www.seasideequity.com/investment-criteria</t>
  </si>
  <si>
    <t xml:space="preserve">2026-10-07</t>
  </si>
  <si>
    <t xml:space="preserve">F617</t>
  </si>
  <si>
    <t xml:space="preserve">Seaside Equity Partners : EBITDA visé pour une plateforme (fonds Flagship), haut</t>
  </si>
  <si>
    <t xml:space="preserve">F618</t>
  </si>
  <si>
    <t xml:space="preserve">EMI (Enviracore) : salariés</t>
  </si>
  <si>
    <t xml:space="preserve">salariés</t>
  </si>
  <si>
    <t xml:space="preserve">2019</t>
  </si>
  <si>
    <t xml:space="preserve">52</t>
  </si>
  <si>
    <t xml:space="preserve">05_Commercial_Strategy/emi-entretien-2019-01-31.html</t>
  </si>
  <si>
    <t xml:space="preserve">http://podcast.madepossibleby.us/blog/2019/1/31/environmental-management-services-from-a-garage-startup-to-guthries-business-of-the-year</t>
  </si>
  <si>
    <t xml:space="preserve">F619</t>
  </si>
  <si>
    <t xml:space="preserve">EnviroServe (Clean Harbors) : salariés, plus de</t>
  </si>
  <si>
    <t xml:space="preserve">F620</t>
  </si>
  <si>
    <t xml:space="preserve">EnviroServe (Clean Harbors) : implantations</t>
  </si>
  <si>
    <t xml:space="preserve">F621</t>
  </si>
  <si>
    <t xml:space="preserve">2027E</t>
  </si>
  <si>
    <t xml:space="preserve">01_Financial/deep_dive_veolia_in_the_us_presentation-eng.pdf</t>
  </si>
  <si>
    <t xml:space="preserve">https://www.veolia.com/sites/g/files/dvc4206/files/document/2024/04/Deep_Dive_VEOLIA_in_the_US_Presentation-ENG.pdf</t>
  </si>
  <si>
    <t xml:space="preserve">F622</t>
  </si>
  <si>
    <t xml:space="preserve">F623</t>
  </si>
  <si>
    <t xml:space="preserve">États-Unis : part de l'EBITDA du groupe</t>
  </si>
  <si>
    <t xml:space="preserve">12</t>
  </si>
  <si>
    <t xml:space="preserve">F624</t>
  </si>
  <si>
    <t xml:space="preserve">F625</t>
  </si>
  <si>
    <t xml:space="preserve">EBITDA États-Unis (Veolia), plus de</t>
  </si>
  <si>
    <t xml:space="preserve">F626</t>
  </si>
  <si>
    <t xml:space="preserve">Chiffre d'affaires États-Unis (Veolia)</t>
  </si>
  <si>
    <t xml:space="preserve">F627</t>
  </si>
  <si>
    <t xml:space="preserve">F628</t>
  </si>
  <si>
    <t xml:space="preserve">Incinération commerciale : carnet de commandes</t>
  </si>
  <si>
    <t xml:space="preserve">F629</t>
  </si>
  <si>
    <t xml:space="preserve">Marché américain accessible des déchets dangereux : croissance annuelle</t>
  </si>
  <si>
    <t xml:space="preserve">F630</t>
  </si>
  <si>
    <t xml:space="preserve">Veolia États-Unis, déchets dangereux : croissance annuelle moyenne du chiffre d'affaires 2019-2023</t>
  </si>
  <si>
    <t xml:space="preserve">2019-2023</t>
  </si>
  <si>
    <t xml:space="preserve">+9</t>
  </si>
  <si>
    <t xml:space="preserve">F631</t>
  </si>
  <si>
    <t xml:space="preserve">F632</t>
  </si>
  <si>
    <t xml:space="preserve">Marché américain accessible des déchets dangereux</t>
  </si>
  <si>
    <t xml:space="preserve">F633</t>
  </si>
  <si>
    <t xml:space="preserve">Boosters : part du chiffre d'affaires 2023</t>
  </si>
  <si>
    <t xml:space="preserve">F634</t>
  </si>
  <si>
    <t xml:space="preserve">Boosters : Water Technologies, chiffre d'affaires</t>
  </si>
  <si>
    <t xml:space="preserve">F635</t>
  </si>
  <si>
    <t xml:space="preserve">F636</t>
  </si>
  <si>
    <t xml:space="preserve">F637</t>
  </si>
  <si>
    <t xml:space="preserve">F638</t>
  </si>
  <si>
    <t xml:space="preserve">F639</t>
  </si>
  <si>
    <t xml:space="preserve">Dividende proposé au titre de 2024</t>
  </si>
  <si>
    <t xml:space="preserve">1.40</t>
  </si>
  <si>
    <t xml:space="preserve">F640</t>
  </si>
  <si>
    <t xml:space="preserve">31/12/2023</t>
  </si>
  <si>
    <t xml:space="preserve">F641</t>
  </si>
  <si>
    <t xml:space="preserve">F642</t>
  </si>
  <si>
    <t xml:space="preserve">F643</t>
  </si>
  <si>
    <t xml:space="preserve">fin 2027</t>
  </si>
  <si>
    <t xml:space="preserve">F644</t>
  </si>
  <si>
    <t xml:space="preserve">F645</t>
  </si>
  <si>
    <t xml:space="preserve">Chiffre d'affaires PFAS</t>
  </si>
  <si>
    <t xml:space="preserve">205</t>
  </si>
  <si>
    <t xml:space="preserve">F646</t>
  </si>
  <si>
    <t xml:space="preserve">+9.5</t>
  </si>
  <si>
    <t xml:space="preserve">F647</t>
  </si>
  <si>
    <t xml:space="preserve">4,276</t>
  </si>
  <si>
    <t xml:space="preserve">F648</t>
  </si>
  <si>
    <t xml:space="preserve">+6.6</t>
  </si>
  <si>
    <t xml:space="preserve">F649</t>
  </si>
  <si>
    <t xml:space="preserve">12,506</t>
  </si>
  <si>
    <t xml:space="preserve">F650</t>
  </si>
  <si>
    <t xml:space="preserve">Plafond de levier 2025 (ratio publié)</t>
  </si>
  <si>
    <t xml:space="preserve">F651</t>
  </si>
  <si>
    <t xml:space="preserve">Investissements de croissance (growth capex)</t>
  </si>
  <si>
    <t xml:space="preserve">663</t>
  </si>
  <si>
    <t xml:space="preserve">F652</t>
  </si>
  <si>
    <t xml:space="preserve">F653</t>
  </si>
  <si>
    <t xml:space="preserve">Déchets dangereux Veolia : croissance du chiffre d'affaires à périmètre et change constants</t>
  </si>
  <si>
    <t xml:space="preserve">+7.1</t>
  </si>
  <si>
    <t xml:space="preserve">F654</t>
  </si>
  <si>
    <t xml:space="preserve">Cession Lydec : effet sur le chiffre d'affaires</t>
  </si>
  <si>
    <t xml:space="preserve">-181</t>
  </si>
  <si>
    <t xml:space="preserve">F655</t>
  </si>
  <si>
    <t xml:space="preserve">Coût de l'endettement financier net (groupe)</t>
  </si>
  <si>
    <t xml:space="preserve">-652</t>
  </si>
  <si>
    <t xml:space="preserve">F656</t>
  </si>
  <si>
    <t xml:space="preserve">Coût moyen total du financement</t>
  </si>
  <si>
    <t xml:space="preserve">3.76</t>
  </si>
  <si>
    <t xml:space="preserve">F657</t>
  </si>
  <si>
    <t xml:space="preserve">Déchets dangereux Europe : croissance du chiffre d'affaires</t>
  </si>
  <si>
    <t xml:space="preserve">F658</t>
  </si>
  <si>
    <t xml:space="preserve">+75</t>
  </si>
  <si>
    <t xml:space="preserve">F659</t>
  </si>
  <si>
    <t xml:space="preserve">Acquisition en Allemagne : effet sur le chiffre d'affaires</t>
  </si>
  <si>
    <t xml:space="preserve">+178</t>
  </si>
  <si>
    <t xml:space="preserve">F660</t>
  </si>
  <si>
    <t xml:space="preserve">Capex de croissance</t>
  </si>
  <si>
    <t xml:space="preserve">F661</t>
  </si>
  <si>
    <t xml:space="preserve">Cession Sade : effet sur le chiffre d'affaires</t>
  </si>
  <si>
    <t xml:space="preserve">-912</t>
  </si>
  <si>
    <t xml:space="preserve">F662</t>
  </si>
  <si>
    <t xml:space="preserve">Cession RGS : effet sur le chiffre d'affaires</t>
  </si>
  <si>
    <t xml:space="preserve">-135</t>
  </si>
  <si>
    <t xml:space="preserve">F663</t>
  </si>
  <si>
    <t xml:space="preserve">Cessions industrielles</t>
  </si>
  <si>
    <t xml:space="preserve">204</t>
  </si>
  <si>
    <t xml:space="preserve">F664</t>
  </si>
  <si>
    <t xml:space="preserve">6,543</t>
  </si>
  <si>
    <t xml:space="preserve">F665</t>
  </si>
  <si>
    <t xml:space="preserve">Déchets dangereux : croissance du chiffre d'affaires</t>
  </si>
  <si>
    <t xml:space="preserve">F666</t>
  </si>
  <si>
    <t xml:space="preserve">Résultat net courant par action, part du groupe</t>
  </si>
  <si>
    <t xml:space="preserve">2.13</t>
  </si>
  <si>
    <t xml:space="preserve">F667</t>
  </si>
  <si>
    <t xml:space="preserve">Capex déchets dangereux</t>
  </si>
  <si>
    <t xml:space="preserve">185</t>
  </si>
  <si>
    <t xml:space="preserve">F668</t>
  </si>
  <si>
    <t xml:space="preserve">Émission obligataire de septembre 2024, tranche 10 ans : nominal</t>
  </si>
  <si>
    <t xml:space="preserve">F669</t>
  </si>
  <si>
    <t xml:space="preserve">Émission obligataire de septembre 2024, tranche 10 ans : taux</t>
  </si>
  <si>
    <t xml:space="preserve">3.571</t>
  </si>
  <si>
    <t xml:space="preserve">F670</t>
  </si>
  <si>
    <t xml:space="preserve">97</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</si>
  <si>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</si>
  <si>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</si>
  <si>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</si>
  <si>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</si>
  <si>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</si>
  <si>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</si>
  <si>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</si>
  <si>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</si>
  <si>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</si>
  <si>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</si>
  <si>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</si>
  <si>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</si>
  <si>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</si>
  <si>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</si>
  <si>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</si>
  <si>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</si>
  <si>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</si>
  <si>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</si>
  <si>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</si>
  <si>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</si>
  <si>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</si>
  <si>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</si>
  <si>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</si>
  <si>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</si>
  <si>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</si>
  <si>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</si>
  <si>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</si>
  <si>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</si>
  <si>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</si>
  <si>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</si>
  <si>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</si>
  <si>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</si>
  <si>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</si>
  <si>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</si>
  <si>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</si>
  <si>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</si>
  <si>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</si>
  <si>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</si>
  <si>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</si>
  <si>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</si>
  <si>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</si>
  <si>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</si>
  <si>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</si>
  <si>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</si>
  <si>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</si>
  <si>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</si>
  <si>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</si>
  <si>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</si>
  <si>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</si>
  <si>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</si>
  <si>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</si>
  <si>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</si>
  <si>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</si>
  <si>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</si>
  <si>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</si>
  <si>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</si>
  <si>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</si>
  <si>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</si>
  <si>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</si>
  <si>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</si>
  <si>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</si>
  <si>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</si>
  <si>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</si>
  <si>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</si>
  <si>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</si>
  <si>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</si>
  <si>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</si>
  <si>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</si>
  <si>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</si>
  <si>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</si>
  <si>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</si>
  <si>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</si>
  <si>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</si>
  <si>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</si>
  <si>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</si>
  <si>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</si>
  <si>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</si>
  <si>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</si>
  <si>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</si>
  <si>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</si>
  <si>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</si>
  <si>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</si>
  <si>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</si>
  <si>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</si>
  <si>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</si>
  <si>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</si>
  <si>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</si>
  <si>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</si>
  <si>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</si>
  <si>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</si>
  <si>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</si>
  <si>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</si>
  <si>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</si>
  <si>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</si>
  <si>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</si>
  <si>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</si>
  <si>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</si>
  <si>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</si>
  <si>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</si>
  <si>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</si>
  <si>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</si>
  <si>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</si>
  <si>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</si>
  <si>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</si>
  <si>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</si>
  <si>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</si>
  <si>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</si>
  <si>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</si>
  <si>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</si>
  <si>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</si>
  <si>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</si>
  <si>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</si>
  <si>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</si>
  <si>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</si>
  <si>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</si>
  <si>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</si>
  <si>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</si>
  <si>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</si>
  <si>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</si>
  <si>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</si>
  <si>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</si>
  <si>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</si>
  <si>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</si>
  <si>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</si>
  <si>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</si>
  <si>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</si>
  <si>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</si>
  <si>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</si>
  <si>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</si>
  <si>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</si>
  <si>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</si>
  <si>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</si>
  <si>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</si>
  <si>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</si>
  <si>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</si>
  <si>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</si>
  <si>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</si>
  <si>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</si>
  <si>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</si>
  <si>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</si>
  <si>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</si>
  <si>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</si>
  <si>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</si>
  <si>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</si>
  <si>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</si>
  <si>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</si>
  <si>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</si>
  <si>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</si>
  <si>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</si>
  <si>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</si>
  <si>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</si>
  <si>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</si>
  <si>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</si>
  <si>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</si>
  <si>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</si>
  <si>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</si>
  <si>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</si>
  <si>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</si>
  <si>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</si>
  <si>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</si>
  <si>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</si>
  <si>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</si>
  <si>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</si>
  <si>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</si>
  <si>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</si>
  <si>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</si>
  <si>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</si>
  <si>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</si>
  <si>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</si>
  <si>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</si>
  <si>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</si>
  <si>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</si>
  <si>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</si>
  <si>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</si>
  <si>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</si>
  <si>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</si>
  <si>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</si>
  <si>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</si>
  <si>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</si>
  <si>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</si>
  <si>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</si>
  <si>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</si>
  <si>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</si>
  <si>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</si>
  <si>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</si>
  <si>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</si>
  <si>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</si>
  <si>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</si>
  <si>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</si>
  <si>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</si>
  <si>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</si>
  <si>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</si>
  <si>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</si>
  <si>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</si>
  <si>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</si>
  <si>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</si>
  <si>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</si>
  <si>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</si>
  <si>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</si>
  <si>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</si>
  <si>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</si>
  <si>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</si>
  <si>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</si>
  <si>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</si>
  <si>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</si>
  <si>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</si>
  <si>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</si>
  <si>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</si>
  <si>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</si>
  <si>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</si>
  <si>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</si>
  <si>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</si>
  <si>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</si>
  <si>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</si>
  <si>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</si>
  <si>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</si>
  <si>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</si>
  <si>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</si>
  <si>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</si>
  <si>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</si>
  <si>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</si>
  <si>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</si>
  <si>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</si>
  <si>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</si>
  <si>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</si>
  <si>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</si>
  <si>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</si>
  <si>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</si>
  <si>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</si>
  <si>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</si>
  <si>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</si>
  <si>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</si>
  <si>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</si>
  <si>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</si>
  <si>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</si>
  <si>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</si>
  <si>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</si>
  <si>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</si>
  <si>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</si>
  <si>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</si>
  <si>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</si>
  <si>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</si>
  <si>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</si>
  <si>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</si>
  <si>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</si>
  <si>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</si>
  <si>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</si>
  <si>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</si>
  <si>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</si>
  <si>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</si>
  <si>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</si>
  <si>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</si>
  <si>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</si>
  <si>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</si>
  <si>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</si>
  <si>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</si>
  <si>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</si>
  <si>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</si>
  <si>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</si>
  <si>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</si>
  <si>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</si>
  <si>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</si>
  <si>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</si>
  <si>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</si>
  <si>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</si>
  <si>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</si>
  <si>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</si>
  <si>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</si>
  <si>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</si>
  <si>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</si>
  <si>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</si>
  <si>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</si>
  <si>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</si>
  <si>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</si>
  <si>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</si>
  <si>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</si>
  <si>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</si>
  <si>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</si>
  <si>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</si>
  <si>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</si>
  <si>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</si>
  <si>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</si>
  <si>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</si>
  <si>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</si>
  <si>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</si>
  <si>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</si>
  <si>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</si>
  <si>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</si>
  <si>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</si>
  <si>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</si>
  <si>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</si>
  <si>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</si>
  <si>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</si>
  <si>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</si>
  <si>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</si>
  <si>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</si>
  <si>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</si>
  <si>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</si>
  <si>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</si>
  <si>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</si>
  <si>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</si>
  <si>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</si>
  <si>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</si>
  <si>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</si>
  <si>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</si>
  <si>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</si>
  <si>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</si>
  <si>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</si>
  <si>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</si>
  <si>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</si>
  <si>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</si>
  <si>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</si>
  <si>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</si>
  <si>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</si>
  <si>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</si>
  <si>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</si>
  <si>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</si>
  <si>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</si>
  <si>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</si>
  <si>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</si>
  <si>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</si>
  <si>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</si>
  <si>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</si>
  <si>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</si>
  <si>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</si>
  <si>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</si>
  <si>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</si>
  <si>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</si>
  <si>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</si>
  <si>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</si>
  <si>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</si>
  <si>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</si>
  <si>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</si>
  <si>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</si>
  <si>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</si>
  <si>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</si>
  <si>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</si>
  <si>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</si>
  <si>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</si>
  <si>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</si>
  <si>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</si>
  <si>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</si>
  <si>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</si>
  <si>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</si>
  <si>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</si>
  <si>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</si>
  <si>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</si>
  <si>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</si>
  <si>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</si>
  <si>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</si>
  <si>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</si>
  <si>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</si>
  <si>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</si>
  <si>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</si>
  <si>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</si>
  <si>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</si>
  <si>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</si>
  <si>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</si>
  <si>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</si>
  <si>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</si>
  <si>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</si>
  <si>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</si>
  <si>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</si>
  <si>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</si>
  <si>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</si>
  <si>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</si>
  <si>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</si>
  <si>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</si>
  <si>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</si>
  <si>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</si>
  <si>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</si>
  <si>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</si>
  <si>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</si>
  <si>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</si>
  <si>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</si>
  <si>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</si>
  <si>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</si>
  <si>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</si>
  <si>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</si>
  <si>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</si>
  <si>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</si>
  <si>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</si>
  <si>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</si>
  <si>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</si>
  <si>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</si>
  <si>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</si>
  <si>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</si>
  <si>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</si>
  <si>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</si>
  <si>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</si>
  <si>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</si>
  <si>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</si>
  <si>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</si>
  <si>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</si>
  <si>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</si>
  <si>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</si>
  <si>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</si>
  <si>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</si>
  <si>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</si>
  <si>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</si>
  <si>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</si>
  <si>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</si>
  <si>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</si>
  <si>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</si>
  <si>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</si>
  <si>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</si>
  <si>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</si>
  <si>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</si>
  <si>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</si>
  <si>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</si>
  <si>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</si>
  <si>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</si>
  <si>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</si>
  <si>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</si>
  <si>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</si>
  <si>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</si>
  <si>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</si>
  <si>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</si>
  <si>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</si>
  <si>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</si>
  <si>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</si>
  <si>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</si>
  <si>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</si>
  <si>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</si>
  <si>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</si>
  <si>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</si>
  <si>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</si>
  <si>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</si>
  <si>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</si>
  <si>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</si>
  <si>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</si>
  <si>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</si>
  <si>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</si>
  <si>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</si>
  <si>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</si>
  <si>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</si>
  <si>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</si>
  <si>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</si>
  <si>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</si>
  <si>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</si>
  <si>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</si>
  <si>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</si>
  <si>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</si>
  <si>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</si>
  <si>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</si>
  <si>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</si>
  <si>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</si>
  <si>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</si>
  <si>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</si>
  <si>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</si>
  <si>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</si>
  <si>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</si>
  <si>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</si>
  <si>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</si>
  <si>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</si>
  <si>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</si>
  <si>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</si>
  <si>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</si>
  <si>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</si>
  <si>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</si>
  <si>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</si>
  <si>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</si>
  <si>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</si>
  <si>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</si>
  <si>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</si>
  <si>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</si>
  <si>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</si>
  <si>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</si>
  <si>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</si>
  <si>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</si>
  <si>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</si>
  <si>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</si>
  <si>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</si>
  <si>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</si>
  <si>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</si>
  <si>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</si>
  <si>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</si>
  <si>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</si>
  <si>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</si>
  <si>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</si>
  <si>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</si>
  <si>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</si>
  <si>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</si>
  <si>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</si>
  <si>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</si>
  <si>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</si>
  <si>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</si>
  <si>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</si>
  <si>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</si>
  <si>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</si>
  <si>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</si>
  <si>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</si>
  <si>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</si>
  <si>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</si>
  <si>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</si>
  <si>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</si>
  <si>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</si>
  <si>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</si>
  <si>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</si>
  <si>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</si>
  <si>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</si>
  <si>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</si>
  <si>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</si>
  <si>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</si>
  <si>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</si>
  <si>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</si>
  <si>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</si>
  <si>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</si>
  <si>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</si>
  <si>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</si>
  <si>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</si>
  <si>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</si>
  <si>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</si>
  <si>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</si>
  <si>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</si>
  <si>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</si>
  <si>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</si>
  <si>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</si>
  <si>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</si>
  <si>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</si>
  <si>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</si>
  <si>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</si>
  <si>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</si>
  <si>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</si>
  <si>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</si>
  <si>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</si>
  <si>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</si>
  <si>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</si>
  <si>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</si>
  <si>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</si>
  <si>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</si>
  <si>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</si>
  <si>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</si>
  <si>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</si>
  <si>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</si>
  <si>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</si>
  <si>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</si>
  <si>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</si>
  <si>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</si>
  <si>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</si>
  <si>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</si>
  <si>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</si>
  <si>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</si>
  <si>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</si>
  <si>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</si>
  <si>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</si>
  <si>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</si>
  <si>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</si>
  <si>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</si>
  <si>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</si>
  <si>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</si>
  <si>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</si>
  <si>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</si>
  <si>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</si>
  <si>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</si>
  <si>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</si>
  <si>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</si>
  <si>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</si>
  <si>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</si>
  <si>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</si>
  <si>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</si>
  <si>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</si>
  <si>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</si>
  <si>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</si>
  <si>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</si>
  <si>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</si>
  <si>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</si>
  <si>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</si>
  <si>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</si>
  <si>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</si>
  <si>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</si>
  <si>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</si>
  <si>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</si>
  <si>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</si>
  <si>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</si>
  <si>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</si>
  <si>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</si>
  <si>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</si>
  <si>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</si>
  <si>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</si>
  <si>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</si>
  <si>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</si>
  <si>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</si>
  <si>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</si>
  <si>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</si>
  <si>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</si>
  <si>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</si>
  <si>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</si>
  <si>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</si>
  <si>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</si>
  <si>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</si>
  <si>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</si>
  <si>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</si>
  <si>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</si>
  <si>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</si>
  <si>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</si>
  <si>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</si>
  <si>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</si>
  <si>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</si>
  <si>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</si>
  <si>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</si>
  <si>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</si>
  <si>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</si>
  <si>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</si>
  <si>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</si>
  <si>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</si>
  <si>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</si>
  <si>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</si>
  <si>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</si>
  <si>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</si>
  <si>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</si>
  <si>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</si>
  <si>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</si>
  <si>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</si>
  <si>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</si>
  <si>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</si>
  <si>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</si>
  <si>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</si>
  <si>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</si>
  <si>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</si>
  <si>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</si>
  <si>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</si>
  <si>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</si>
  <si>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</si>
  <si>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</si>
  <si>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</si>
  <si>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</si>
  <si>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</si>
  <si>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</si>
  <si>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</si>
  <si>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</si>
  <si>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</si>
  <si>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</si>
  <si>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</si>
  <si>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</si>
  <si>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</si>
  <si>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</si>
  <si>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</si>
  <si>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</si>
  <si>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</si>
  <si>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</si>
  <si>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</si>
  <si>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</si>
  <si>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</si>
  <si>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</si>
  <si>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</si>
  <si>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</si>
  <si>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</si>
  <si>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</si>
  <si>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</si>
  <si>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</si>
  <si>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</si>
  <si>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</si>
  <si>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</si>
  <si>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</si>
  <si>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</si>
  <si>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</si>
  <si>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</si>
  <si>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</si>
  <si>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</si>
  <si>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</si>
  <si>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</si>
  <si>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</si>
  <si>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</si>
  <si>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</si>
  <si>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</si>
  <si>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</si>
  <si>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</si>
  <si>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</si>
  <si>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</si>
  <si>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</si>
  <si>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</si>
  <si>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</si>
  <si>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</si>
  <si>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</si>
  <si>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</si>
  <si>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</si>
  <si>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</si>
  <si>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</si>
  <si>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</si>
  <si>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</si>
  <si>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</si>
  <si>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</si>
  <si>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</si>
  <si>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</si>
  <si>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</si>
  <si>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</si>
  <si>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</si>
  <si>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</si>
  <si>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</si>
  <si>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</si>
  <si>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</si>
  <si>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</si>
  <si>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</si>
  <si>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</si>
  <si>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</si>
  <si>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</si>
  <si>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</si>
  <si>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</si>
  <si>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</si>
  <si>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</si>
  <si>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</si>
  <si>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</si>
  <si>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</si>
  <si>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</si>
  <si>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</si>
  <si>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</si>
  <si>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</si>
  <si>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</si>
  <si>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</si>
  <si>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</si>
  <si>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</si>
  <si>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</si>
  <si>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</si>
  <si>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</si>
  <si>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</si>
  <si>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</si>
  <si>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</si>
  <si>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</si>
  <si>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</si>
  <si>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</si>
  <si>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</si>
  <si>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</si>
  <si>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</si>
  <si>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</si>
  <si>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</si>
  <si>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</si>
  <si>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</si>
  <si>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</si>
  <si>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</si>
  <si>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</si>
  <si>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</si>
  <si>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</si>
  <si>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</si>
  <si>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</si>
  <si>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</si>
  <si>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</si>
  <si>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</si>
  <si>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</si>
  <si>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</si>
  <si>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</si>
  <si>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</si>
  <si>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</si>
  <si>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</si>
  <si>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</si>
  <si>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</si>
  <si>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</si>
  <si>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</si>
  <si>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</si>
  <si>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</si>
  <si>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</si>
  <si>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</si>
  <si>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</si>
  <si>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</si>
  <si>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</si>
  <si>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</si>
  <si>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</si>
  <si>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</si>
  <si>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</si>
  <si>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</si>
  <si>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</si>
  <si>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</si>
  <si>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</si>
  <si>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</si>
  <si>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</si>
  <si>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</si>
  <si>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</si>
  <si>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</si>
  <si>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</si>
  <si>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</si>
  <si>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</si>
  <si>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</si>
  <si>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</si>
  <si>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</si>
  <si>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</si>
  <si>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</si>
  <si>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</si>
  <si>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</si>
  <si>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</si>
  <si>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</si>
  <si>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</si>
  <si>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</si>
  <si>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</si>
  <si>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</si>
  <si>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</si>
  <si>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</si>
  <si>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</si>
  <si>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</si>
  <si>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</si>
  <si>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</si>
  <si>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</si>
  <si>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</si>
  <si>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</si>
  <si>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</si>
  <si>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</si>
  <si>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</si>
  <si>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</si>
  <si>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</si>
  <si>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</si>
  <si>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</si>
  <si>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</si>
  <si>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</si>
  <si>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</si>
  <si>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</si>
  <si>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</si>
  <si>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</si>
  <si>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</si>
  <si>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</si>
  <si>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</si>
  <si>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</si>
  <si>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</si>
  <si>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</si>
  <si>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</si>
  <si>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</si>
  <si>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</si>
  <si>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</si>
  <si>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</si>
  <si>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</si>
  <si>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</si>
  <si>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</si>
  <si>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</si>
  <si>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</si>
  <si>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</si>
  <si>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</si>
  <si>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</si>
  <si>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</si>
  <si>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</si>
  <si>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</si>
  <si>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</si>
  <si>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</si>
  <si>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</si>
  <si>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</si>
  <si>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</si>
  <si>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</si>
  <si>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</si>
  <si>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</si>
  <si>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</si>
  <si>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</si>
  <si>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</si>
  <si>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</si>
  <si>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</si>
  <si>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</si>
  <si>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</si>
  <si>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</si>
  <si>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</si>
  <si>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</si>
  <si>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</si>
  <si>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</si>
  <si>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</si>
  <si>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</si>
  <si>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</si>
  <si>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</si>
  <si>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</si>
  <si>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</si>
  <si>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</si>
  <si>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</si>
  <si>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</si>
  <si>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</si>
  <si>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</si>
  <si>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</si>
  <si>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</si>
  <si>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</si>
  <si>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</si>
  <si>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</si>
  <si>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</si>
  <si>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</si>
  <si>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</si>
  <si>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</si>
  <si>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</si>
  <si>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</si>
  <si>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</si>
  <si>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</si>
  <si>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</si>
  <si>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</si>
  <si>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</si>
  <si>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</si>
  <si>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</si>
  <si>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</si>
  <si>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</si>
  <si>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</si>
  <si>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</si>
  <si>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</si>
  <si>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</si>
  <si>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</si>
  <si>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</si>
  <si>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</si>
  <si>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</si>
  <si>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</si>
  <si>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</si>
  <si>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</si>
  <si>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</si>
  <si>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</si>
  <si>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</si>
  <si>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</si>
  <si>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</si>
  <si>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</si>
  <si>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</si>
  <si>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</si>
  <si>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</si>
  <si>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</si>
  <si>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</si>
  <si>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</si>
  <si>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</si>
  <si>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</si>
  <si>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</si>
  <si>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</si>
  <si>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</si>
  <si>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</si>
  <si>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</si>
  <si>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</si>
  <si>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</si>
  <si>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</si>
  <si>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</si>
  <si>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</si>
  <si>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</si>
  <si>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</si>
  <si>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</si>
  <si>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</si>
  <si>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</si>
  <si>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</si>
  <si>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</si>
  <si>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</si>
  <si>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</si>
  <si>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</si>
  <si>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</si>
  <si>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</si>
  <si>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</si>
  <si>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</si>
  <si>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</si>
  <si>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</si>
  <si>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</si>
  <si>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</si>
  <si>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</si>
  <si>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</si>
  <si>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</si>
  <si>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</si>
  <si>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</si>
  <si>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</si>
  <si>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</si>
  <si>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</si>
  <si>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</si>
  <si>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</si>
  <si>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</si>
  <si>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</si>
  <si>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</si>
  <si>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</si>
  <si>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</si>
  <si>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</si>
  <si>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</si>
  <si>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</si>
  <si>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</si>
  <si>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</si>
  <si>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</si>
  <si>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</si>
  <si>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</si>
  <si>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</si>
  <si>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</si>
  <si>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</si>
  <si>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</si>
  <si>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</si>
  <si>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</si>
  <si>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</si>
  <si>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</si>
  <si>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</si>
  <si>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</si>
  <si>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</si>
  <si>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</si>
  <si>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</si>
  <si>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</si>
  <si>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</si>
  <si>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</si>
  <si>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</si>
  <si>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</si>
  <si>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</si>
  <si>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</si>
  <si>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</si>
  <si>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</si>
  <si>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</si>
  <si>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</si>
  <si>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</si>
  <si>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</si>
  <si>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</si>
  <si>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</si>
  <si>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</si>
  <si>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</si>
  <si>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</si>
  <si>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</si>
  <si>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</si>
  <si>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</si>
  <si>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</si>
  <si>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</si>
  <si>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</si>
  <si>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</si>
  <si>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</si>
  <si>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</si>
  <si>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</si>
  <si>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</si>
  <si>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</si>
  <si>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</si>
  <si>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</si>
  <si>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</si>
  <si>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</si>
  <si>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</si>
  <si>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</si>
  <si>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</si>
  <si>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</si>
  <si>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</si>
  <si>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</si>
  <si>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</si>
  <si>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</si>
  <si>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</si>
  <si>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</si>
  <si>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</si>
  <si>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</si>
  <si>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</si>
  <si>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</si>
  <si>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</si>
  <si>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</si>
  <si>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</si>
  <si>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</si>
  <si>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</si>
  <si>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</si>
  <si>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</si>
  <si>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</si>
  <si>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</si>
  <si>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</si>
  <si>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</si>
  <si>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</si>
  <si>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</si>
  <si>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</si>
  <si>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</si>
  <si>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</si>
  <si>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</si>
  <si>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</si>
  <si>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</si>
  <si>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</si>
  <si>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</si>
  <si>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</si>
  <si>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</si>
  <si>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</si>
  <si>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</si>
  <si>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</si>
  <si>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</si>
  <si>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</si>
  <si>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</si>
  <si>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</si>
  <si>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</si>
  <si>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</si>
  <si>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</si>
  <si>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</si>
  <si>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</si>
  <si>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</si>
  <si>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</si>
  <si>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</si>
  <si>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</si>
  <si>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</si>
  <si>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</si>
  <si>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</si>
  <si>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</si>
  <si>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</si>
  <si>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</si>
  <si>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</si>
  <si>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</si>
  <si>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</si>
  <si>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</si>
  <si>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</si>
  <si>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</si>
  <si>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</si>
  <si>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</si>
  <si>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</si>
  <si>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</si>
  <si>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</si>
  <si>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</si>
  <si>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</si>
  <si>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</si>
  <si>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</si>
  <si>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</si>
  <si>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</si>
  <si>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</si>
  <si>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</si>
  <si>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</si>
  <si>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</si>
  <si>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</si>
  <si>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</si>
  <si>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</si>
  <si>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</si>
  <si>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</si>
  <si>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</si>
  <si>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</si>
  <si>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</si>
  <si>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</si>
  <si>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</si>
  <si>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</si>
  <si>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</si>
  <si>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</si>
  <si>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</si>
  <si>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</si>
  <si>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</si>
  <si>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</si>
  <si>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</si>
  <si>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</si>
  <si>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</si>
  <si>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</si>
  <si>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</si>
  <si>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</si>
  <si>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</si>
  <si>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</si>
  <si>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</si>
  <si>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</si>
  <si>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</si>
  <si>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</si>
  <si>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</si>
  <si>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</si>
  <si>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</si>
  <si>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</si>
  <si>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</si>
  <si>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</si>
  <si>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</si>
  <si>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</si>
  <si>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</si>
  <si>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</si>
  <si>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</si>
  <si>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</si>
  <si>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</si>
  <si>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</si>
  <si>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</si>
  <si>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</si>
  <si>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</si>
  <si>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</si>
  <si>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</si>
  <si>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</si>
  <si>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</si>
  <si>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</si>
  <si>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</si>
  <si>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</si>
  <si>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</si>
  <si>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</si>
  <si>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</si>
  <si>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</si>
  <si>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</si>
  <si>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</si>
  <si>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</si>
  <si>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</si>
  <si>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</si>
  <si>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</si>
  <si>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</si>
  <si>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</si>
  <si>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</si>
  <si>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</si>
  <si>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</si>
  <si>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</si>
  <si>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</si>
  <si>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</si>
  <si>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</si>
  <si>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</si>
  <si>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</si>
  <si>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</si>
  <si>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</si>
  <si>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</si>
  <si>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</si>
  <si>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</si>
  <si>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</si>
  <si>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</si>
  <si>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</si>
  <si>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</si>
  <si>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</si>
  <si>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</si>
  <si>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</si>
  <si>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</si>
  <si>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</si>
  <si>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</si>
  <si>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</si>
  <si>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</si>
  <si>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</si>
  <si>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</si>
  <si>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</si>
  <si>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</si>
  <si>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</si>
  <si>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</si>
  <si>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</si>
  <si>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</si>
  <si>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</si>
  <si>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</si>
  <si>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</si>
  <si>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</si>
  <si>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</si>
  <si>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</si>
  <si>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</si>
  <si>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Enviracore Services</t>
  </si>
  <si>
    <t xml:space="preserve">services environnementaux : intervention d'urgence, nettoyage industriel, transport et traitement d'eaux usées (station à Oklahoma City, deux sites autorisés), déchets dangereux via une station de transit de 10 jours (EMI, Guthrie) ; pas d'incinérateur ni de site de traitement des déchets dangereux connu</t>
  </si>
  <si>
    <t xml:space="preserve">Seaside Equity Partners (fonds, depuis 2024)</t>
  </si>
  <si>
    <t xml:space="preserve">T7 — enviracore-lancement-2025-09-30.html</t>
  </si>
  <si>
    <t xml:space="preserve">États-Unis (Oklahoma, Arkansas, nord du Texas ; siège à Dallas)</t>
  </si>
  <si>
    <t xml:space="preserve">services environnementaux : intervention d'urgence 24/7, nettoyage industriel, transport et traitement des eaux usées, gestion de déchets dangereux via EMI (Guthrie, OK) ; plateforme de buy-and-build (Boomer Environmental, Environmental Cleanup Inc., EMI)</t>
  </si>
  <si>
    <t xml:space="preserve">Seaside Equity Partners (fonds lower middle market, depuis le 30/09/2025)</t>
  </si>
  <si>
    <t xml:space="preserve">T8 — bizwire-2025-9-30-seaside-equity-partners-la</t>
  </si>
  <si>
    <t xml:space="preserve">Envisol</t>
  </si>
  <si>
    <t xml:space="preserve">France (siège à La Tour-du-Pin, Isère ; agences dont Orvault, Éguilles, Créteil, Metz, Labège, Rouen)</t>
  </si>
  <si>
    <t xml:space="preserve">ingénierie et conseil en sites et sols pollués : diagnostic des sols et des nappes, plans de gestion, assistance travaux, géostatistique (EnviRisk, SCAN 360), géophysique, renaturation</t>
  </si>
  <si>
    <t xml:space="preserve">Groupe Géotec (depuis le 20/02/2025), lui-même sous LBO avec Naxicap Partners, BDR Invest et Jadel</t>
  </si>
  <si>
    <t xml:space="preserve">T9 — geotec-2</t>
  </si>
  <si>
    <t xml:space="preserve">Onterris (ex-Montrose Environmental Group)</t>
  </si>
  <si>
    <t xml:space="preserve">United States, Canada, Australia</t>
  </si>
  <si>
    <t xml:space="preserve">Environmental consulting, testing and treatment; remediation including PFAS; emergency response</t>
  </si>
  <si>
    <t xml:space="preserve">Listed (NYSE: ONT)</t>
  </si>
  <si>
    <t xml:space="preserve">T10 — 0001193125-26-335022.pdf</t>
  </si>
  <si>
    <t xml:space="preserve">Perma-Fix Environmental Services</t>
  </si>
  <si>
    <t xml:space="preserve">United States</t>
  </si>
  <si>
    <t xml:space="preserve">Treatment of low-level radioactive and mixed waste (RCRA Part B, TSCA) at four facilities; nuclear services</t>
  </si>
  <si>
    <t xml:space="preserve">Listed (Nasdaq: PESI)</t>
  </si>
  <si>
    <t xml:space="preserve">T11 — formars.pdf</t>
  </si>
  <si>
    <t xml:space="preserve">Chemtron Corporation</t>
  </si>
  <si>
    <t xml:space="preserve">United States (Ohio, Western New York)</t>
  </si>
  <si>
    <t xml:space="preserve">Hazardous and non-hazardous waste management; two RCRA Part B TSDFs, two 10-day facilities</t>
  </si>
  <si>
    <t xml:space="preserve">Kinderhook Industries (private equity, since 2019)</t>
  </si>
  <si>
    <t xml:space="preserve">T12 — </t>
  </si>
  <si>
    <t xml:space="preserve">Cleanaway — Oils &amp; Technical Services and Health Services</t>
  </si>
  <si>
    <t xml:space="preserve">Australia</t>
  </si>
  <si>
    <t xml:space="preserve">Liquid and hazardous waste, technical services, health (medical) waste</t>
  </si>
  <si>
    <t xml:space="preserve">Cleanaway Waste Management Limited (ASX: CWY), under non-binding EQT Infrastructure proposal</t>
  </si>
  <si>
    <t xml:space="preserve">T13 — 072pv5zdfnn9vx.pdf</t>
  </si>
  <si>
    <t xml:space="preserve">Daiseki Co., Ltd.</t>
  </si>
  <si>
    <t xml:space="preserve">Japan</t>
  </si>
  <si>
    <t xml:space="preserve">Industrial waste treatment and recycling (waste oil, sludge), soil remediation, lead recycling</t>
  </si>
  <si>
    <t xml:space="preserve">Listed (TSE Prime: 9793)</t>
  </si>
  <si>
    <t xml:space="preserve">T14 — print.pdf</t>
  </si>
  <si>
    <t xml:space="preserve">Quest Resource Holding Corporation</t>
  </si>
  <si>
    <t xml:space="preserve">Environmental waste and recycling services (managed services across multiple waste streams)</t>
  </si>
  <si>
    <t xml:space="preserve">Listed (Nasdaq: QRHC)</t>
  </si>
  <si>
    <t xml:space="preserve">T15 — FINAL-QRHC-1Q26-Earnings-Release-5-7-26.pdf</t>
  </si>
  <si>
    <t xml:space="preserve">Indaver</t>
  </si>
  <si>
    <t xml:space="preserve">Belgique, Pays-Bas, Allemagne, Irlande, Royaume-Uni, France, Italie, Espagne, Portugal</t>
  </si>
  <si>
    <t xml:space="preserve">Déchets industriels et dangereux : incinération de déchets dangereux (Hambourg, Biebesheim, Anvers), recyclage de solvants, décharges, valorisation énergétique, PFAS ; CA 2025 1 043 M€, EBITDA 2025 188 M€</t>
  </si>
  <si>
    <t xml:space="preserve">Katoen Natie (filiale)</t>
  </si>
  <si>
    <t xml:space="preserve">T16 — indaver_dzr_2025_en.pdf</t>
  </si>
  <si>
    <t xml:space="preserve">Tradebe Environmental Services</t>
  </si>
  <si>
    <t xml:space="preserve">Espagne, Royaume-Uni, Irlande, France, Italie, États-Unis</t>
  </si>
  <si>
    <t xml:space="preserve">Gestion de déchets industriels et dangereux, recyclage de solvants ; une des quatre activités d'un groupe au CA opérationnel agrégé 2025 supérieur à 830 M€ (plus de 100 installations, plus de 3 000 salariés)</t>
  </si>
  <si>
    <t xml:space="preserve">Groupe Tradebe, privé non coté (fondé et présidé par Josep Creixell)</t>
  </si>
  <si>
    <t xml:space="preserve">T17 — tradebe-refuerza-su-presencia-en-reino-unido</t>
  </si>
  <si>
    <t xml:space="preserve">Augean</t>
  </si>
  <si>
    <t xml:space="preserve">Traitement et élimination de déchets dangereux (marchés valorisation énergétique, construction, industrie, nucléaire)</t>
  </si>
  <si>
    <t xml:space="preserve">Eleia (fonds Ancala Partners et Fiera Infrastructure), depuis 2021</t>
  </si>
  <si>
    <t xml:space="preserve">T18 — winning-bid-made-in-battle-to-acquire-waste-</t>
  </si>
  <si>
    <t xml:space="preserve">Enva</t>
  </si>
  <si>
    <t xml:space="preserve">Royaume-Uni, Irlande</t>
  </si>
  <si>
    <t xml:space="preserve">Recyclage et valorisation, axé sur les déchets dangereux et spéciaux ; 34 sites, plus de 1 600 salariés, CA FY22 de 294 M£</t>
  </si>
  <si>
    <t xml:space="preserve">I Squared Capital (ISQ Global Infrastructure Fund III), depuis 2023</t>
  </si>
  <si>
    <t xml:space="preserve">T19 — enva-announces-agreement-to-be-acquired-by-i</t>
  </si>
  <si>
    <t xml:space="preserve">AVR</t>
  </si>
  <si>
    <t xml:space="preserve">Pays-Bas</t>
  </si>
  <si>
    <t xml:space="preserve">Valorisation énergétique de déchets résiduels (Rozenburg, Duiven), biomasse, eaux usées ; déchets dangereux marginaux (0,24 kt traités en 2024)</t>
  </si>
  <si>
    <t xml:space="preserve">Consortium mené par CK Infrastructure Holdings (CKI), depuis 2013</t>
  </si>
  <si>
    <t xml:space="preserve">T20 — avr-annual-report-2024-resolve-web-1.pdf</t>
  </si>
  <si>
    <t xml:space="preserve">Groupe Flamme (A.R.F., Flamme Environnement, Flamme Assainissement)</t>
  </si>
  <si>
    <t xml:space="preserve">France (Hauts-de-France), Belgique</t>
  </si>
  <si>
    <t xml:space="preserve">Collecte et incinération de déchets dangereux (4 sites A.R.F.), services à l'environnement, assainissement ; CA ~100 M€ et EBE ~20 M€ (exercice clos au 30/09/2024)</t>
  </si>
  <si>
    <t xml:space="preserve">Actionnaires familiaux, sous promesse unilatérale d'achat de Séché Environnement (juin 2025)</t>
  </si>
  <si>
    <t xml:space="preserve">T21 — 25-06-cp-flamme.pdf</t>
  </si>
  <si>
    <t xml:space="preserve">Activités déchets dangereux France de SUEZ (ex-SARPI cédées par Veolia)</t>
  </si>
  <si>
    <t xml:space="preserve">Regroupement, incinération, traitement physico-chimique et stockage de déchets dangereux ; une vingtaine de sites, ~700 salariés (dont stockage d'Occitanis)</t>
  </si>
  <si>
    <t xml:space="preserve">SUEZ (depuis le 30/11/2022)</t>
  </si>
  <si>
    <t xml:space="preserve">T22 — cp-suez-reprend-essentiel-activites-secteur-</t>
  </si>
  <si>
    <t xml:space="preserve">Greenthesis</t>
  </si>
  <si>
    <t xml:space="preserve">Italie (Nord et Centre)</t>
  </si>
  <si>
    <t xml:space="preserve">Gestion et valorisation de déchets, valorisation énergétique, dépollution de sites, gestion de décharges (~20 sites) ; CA 173 M€ et EBITDA 42 M€ « l'an dernier »</t>
  </si>
  <si>
    <t xml:space="preserve">Famille Grossi (60 %) et Patrizia (40 %), retirée de la cote</t>
  </si>
  <si>
    <t xml:space="preserve">T23 — alla-tedesca-patrizia-il-40-di-greenthesis-2</t>
  </si>
  <si>
    <t xml:space="preserve">Currenta — services de gestion et de traitement des déchets</t>
  </si>
  <si>
    <t xml:space="preserve">Allemagne (parcs chimiques de Leverkusen, Dormagen, Krefeld)</t>
  </si>
  <si>
    <t xml:space="preserve">Infrastructures, énergie et services de gestion et de traitement des déchets des parcs chimiques du Bas-Rhin</t>
  </si>
  <si>
    <t xml:space="preserve">Macquarie Infrastructure and Real Assets (Macquarie), depuis 2020</t>
  </si>
  <si>
    <t xml:space="preserve">T24 — lanxess-completes-sale-of-its-currenta-stake</t>
  </si>
  <si>
    <t xml:space="preserve">GSB Sonderabfall-Entsorgung Bayern</t>
  </si>
  <si>
    <t xml:space="preserve">Allemagne (Baar-Ebenhausen, Bavière)</t>
  </si>
  <si>
    <t xml:space="preserve">Incinération de déchets industriels dangereux (capacité 200 000 t/an), traitement physico-chimique (~120 000 t/an), décharge de classe III</t>
  </si>
  <si>
    <t xml:space="preserve">T25 — sicherheit-ist-oberstes-ziel</t>
  </si>
  <si>
    <t xml:space="preserve">Séché Environnement</t>
  </si>
  <si>
    <t xml:space="preserve">France, Italie, Espagne, Chili, Pérou, Afrique du Sud, Singapour</t>
  </si>
  <si>
    <t xml:space="preserve">Déchets industriels dangereux et non dangereux, incinération, stockage, dépollution ; CA contributif 2025 1 152,0 M€, EBE 225,4 M€ ; levier 2,9x au 30/06/2026</t>
  </si>
  <si>
    <t xml:space="preserve">Coté (Euronext Paris), groupe industriel familial</t>
  </si>
  <si>
    <t xml:space="preserve">T26 — seche_environnement_deu_2025_fr.pdf</t>
  </si>
  <si>
    <t xml:space="preserve">Urbaser — Industrial Waste Treatment</t>
  </si>
  <si>
    <t xml:space="preserve">Espagne, international</t>
  </si>
  <si>
    <t xml:space="preserve">Traitement de déchets industriels, un des trois segments d'Urbaser (avec services urbains et traitement des déchets municipaux)</t>
  </si>
  <si>
    <t xml:space="preserve">Blackstone et EQT (accord du 12/02/2026 avec Platinum Equity)</t>
  </si>
  <si>
    <t xml:space="preserve">T27 — platinum-equity-to-sell-global-environmental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</si>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</sst>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95264978"/>
        <c:axId val="76932341"/>
      </c:barChart>
      <c:catAx>
        <c:axId val="952649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6932341"/>
        <c:crosses val="autoZero"/>
        <c:auto val="1"/>
        <c:lblAlgn val="ctr"/>
        <c:lblOffset val="100"/>
        <c:noMultiLvlLbl val="0"/>
      </c:catAx>
      <c:valAx>
        <c:axId val="7693234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5264978"/>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4985911"/>
        <c:axId val="33006753"/>
      </c:barChart>
      <c:catAx>
        <c:axId val="4985911"/>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33006753"/>
        <c:crosses val="autoZero"/>
        <c:auto val="1"/>
        <c:lblAlgn val="ctr"/>
        <c:lblOffset val="100"/>
        <c:noMultiLvlLbl val="0"/>
      </c:catAx>
      <c:valAx>
        <c:axId val="33006753"/>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98591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11481621"/>
        <c:axId val="12101336"/>
      </c:barChart>
      <c:catAx>
        <c:axId val="1148162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2101336"/>
        <c:crosses val="autoZero"/>
        <c:auto val="1"/>
        <c:lblAlgn val="ctr"/>
        <c:lblOffset val="100"/>
        <c:noMultiLvlLbl val="0"/>
      </c:catAx>
      <c:valAx>
        <c:axId val="1210133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48162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59360181"/>
        <c:axId val="88698135"/>
      </c:lineChart>
      <c:catAx>
        <c:axId val="593601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8698135"/>
        <c:crosses val="autoZero"/>
        <c:auto val="1"/>
        <c:lblAlgn val="ctr"/>
        <c:lblOffset val="100"/>
        <c:noMultiLvlLbl val="0"/>
      </c:catAx>
      <c:valAx>
        <c:axId val="88698135"/>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36018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33030427"/>
        <c:axId val="22101154"/>
      </c:barChart>
      <c:catAx>
        <c:axId val="3303042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2101154"/>
        <c:crosses val="autoZero"/>
        <c:auto val="1"/>
        <c:lblAlgn val="ctr"/>
        <c:lblOffset val="100"/>
        <c:noMultiLvlLbl val="0"/>
      </c:catAx>
      <c:valAx>
        <c:axId val="22101154"/>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3030427"/>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row r="621" customFormat="false" ht="15" hidden="false" customHeight="false" outlineLevel="0" collapsed="false">
      <c r="A621" s="27" t="s">
        <v>1914</v>
      </c>
      <c r="B621" s="28" t="s">
        <v>1915</v>
      </c>
      <c r="C621" s="33" t="n">
        <v>3</v>
      </c>
      <c r="D621" s="28" t="s">
        <v>249</v>
      </c>
      <c r="E621" s="28" t="s">
        <v>1916</v>
      </c>
      <c r="F621" s="30" t="s">
        <v>134</v>
      </c>
      <c r="G621" s="28" t="s">
        <v>1917</v>
      </c>
      <c r="H621" s="31" t="n">
        <v>1</v>
      </c>
      <c r="I621" s="28" t="s">
        <v>273</v>
      </c>
      <c r="J621" s="30" t="s">
        <v>1918</v>
      </c>
      <c r="K621" s="30" t="s">
        <v>1919</v>
      </c>
      <c r="L621" s="32" t="s">
        <v>110</v>
      </c>
    </row>
    <row r="622" customFormat="false" ht="15" hidden="false" customHeight="false" outlineLevel="0" collapsed="false">
      <c r="A622" s="22" t="s">
        <v>1920</v>
      </c>
      <c r="B622" s="5" t="s">
        <v>1921</v>
      </c>
      <c r="C622" s="23" t="n">
        <v>15</v>
      </c>
      <c r="D622" s="5" t="s">
        <v>249</v>
      </c>
      <c r="E622" s="5" t="s">
        <v>1916</v>
      </c>
      <c r="F622" s="24" t="s">
        <v>1803</v>
      </c>
      <c r="G622" s="5" t="s">
        <v>1917</v>
      </c>
      <c r="H622" s="25" t="n">
        <v>1</v>
      </c>
      <c r="I622" s="5" t="s">
        <v>273</v>
      </c>
      <c r="J622" s="24" t="s">
        <v>1918</v>
      </c>
      <c r="K622" s="24" t="s">
        <v>1919</v>
      </c>
      <c r="L622" s="26" t="s">
        <v>110</v>
      </c>
    </row>
    <row r="623" customFormat="false" ht="15" hidden="false" customHeight="false" outlineLevel="0" collapsed="false">
      <c r="A623" s="27" t="s">
        <v>1922</v>
      </c>
      <c r="B623" s="28" t="s">
        <v>1923</v>
      </c>
      <c r="C623" s="33" t="n">
        <v>52</v>
      </c>
      <c r="D623" s="28" t="s">
        <v>1924</v>
      </c>
      <c r="E623" s="28" t="s">
        <v>1925</v>
      </c>
      <c r="F623" s="30" t="s">
        <v>1926</v>
      </c>
      <c r="G623" s="28" t="s">
        <v>1927</v>
      </c>
      <c r="H623" s="31" t="n">
        <v>1</v>
      </c>
      <c r="I623" s="28" t="s">
        <v>273</v>
      </c>
      <c r="J623" s="30" t="s">
        <v>1928</v>
      </c>
      <c r="K623" s="30" t="s">
        <v>1919</v>
      </c>
      <c r="L623" s="32" t="s">
        <v>110</v>
      </c>
    </row>
    <row r="624" customFormat="false" ht="15" hidden="false" customHeight="false" outlineLevel="0" collapsed="false">
      <c r="A624" s="22" t="s">
        <v>1929</v>
      </c>
      <c r="B624" s="5" t="s">
        <v>1930</v>
      </c>
      <c r="C624" s="23" t="n">
        <v>700</v>
      </c>
      <c r="D624" s="5" t="s">
        <v>1924</v>
      </c>
      <c r="E624" s="5" t="s">
        <v>1849</v>
      </c>
      <c r="F624" s="24" t="s">
        <v>464</v>
      </c>
      <c r="G624" s="5" t="s">
        <v>1851</v>
      </c>
      <c r="H624" s="25" t="n">
        <v>1</v>
      </c>
      <c r="I624" s="5" t="s">
        <v>273</v>
      </c>
      <c r="J624" s="24" t="s">
        <v>1852</v>
      </c>
      <c r="K624" s="24" t="s">
        <v>1489</v>
      </c>
      <c r="L624" s="26" t="s">
        <v>110</v>
      </c>
    </row>
    <row r="625" customFormat="false" ht="15" hidden="false" customHeight="false" outlineLevel="0" collapsed="false">
      <c r="A625" s="27" t="s">
        <v>1931</v>
      </c>
      <c r="B625" s="28" t="s">
        <v>1932</v>
      </c>
      <c r="C625" s="33" t="n">
        <v>40</v>
      </c>
      <c r="D625" s="28" t="s">
        <v>459</v>
      </c>
      <c r="E625" s="28" t="s">
        <v>1849</v>
      </c>
      <c r="F625" s="30" t="s">
        <v>1649</v>
      </c>
      <c r="G625" s="28" t="s">
        <v>1851</v>
      </c>
      <c r="H625" s="31" t="n">
        <v>1</v>
      </c>
      <c r="I625" s="28" t="s">
        <v>273</v>
      </c>
      <c r="J625" s="30" t="s">
        <v>1852</v>
      </c>
      <c r="K625" s="30" t="s">
        <v>1489</v>
      </c>
      <c r="L625" s="32" t="s">
        <v>110</v>
      </c>
    </row>
    <row r="626" customFormat="false" ht="15" hidden="false" customHeight="false" outlineLevel="0" collapsed="false">
      <c r="A626" s="22" t="s">
        <v>1933</v>
      </c>
      <c r="B626" s="5" t="s">
        <v>155</v>
      </c>
      <c r="C626" s="23" t="n">
        <v>8</v>
      </c>
      <c r="D626" s="5" t="s">
        <v>130</v>
      </c>
      <c r="E626" s="5" t="s">
        <v>1934</v>
      </c>
      <c r="F626" s="24" t="s">
        <v>157</v>
      </c>
      <c r="G626" s="5" t="s">
        <v>1935</v>
      </c>
      <c r="H626" s="25" t="n">
        <v>10</v>
      </c>
      <c r="I626" s="5" t="s">
        <v>127</v>
      </c>
      <c r="J626" s="24" t="s">
        <v>1936</v>
      </c>
      <c r="K626" s="24" t="s">
        <v>109</v>
      </c>
      <c r="L626" s="26" t="s">
        <v>110</v>
      </c>
    </row>
    <row r="627" customFormat="false" ht="15" hidden="false" customHeight="false" outlineLevel="0" collapsed="false">
      <c r="A627" s="27" t="s">
        <v>1937</v>
      </c>
      <c r="B627" s="28" t="s">
        <v>132</v>
      </c>
      <c r="C627" s="33" t="n">
        <v>3</v>
      </c>
      <c r="D627" s="28" t="s">
        <v>133</v>
      </c>
      <c r="E627" s="28" t="s">
        <v>1934</v>
      </c>
      <c r="F627" s="30" t="s">
        <v>134</v>
      </c>
      <c r="G627" s="28" t="s">
        <v>1935</v>
      </c>
      <c r="H627" s="31" t="n">
        <v>10</v>
      </c>
      <c r="I627" s="28" t="s">
        <v>107</v>
      </c>
      <c r="J627" s="30" t="s">
        <v>1936</v>
      </c>
      <c r="K627" s="30" t="s">
        <v>109</v>
      </c>
      <c r="L627" s="32" t="s">
        <v>110</v>
      </c>
    </row>
    <row r="628" customFormat="false" ht="15" hidden="false" customHeight="false" outlineLevel="0" collapsed="false">
      <c r="A628" s="22" t="s">
        <v>1938</v>
      </c>
      <c r="B628" s="5" t="s">
        <v>1939</v>
      </c>
      <c r="C628" s="23" t="n">
        <v>12</v>
      </c>
      <c r="D628" s="5" t="s">
        <v>299</v>
      </c>
      <c r="E628" s="5" t="s">
        <v>546</v>
      </c>
      <c r="F628" s="24" t="s">
        <v>1940</v>
      </c>
      <c r="G628" s="5" t="s">
        <v>1935</v>
      </c>
      <c r="H628" s="25" t="n">
        <v>12</v>
      </c>
      <c r="I628" s="5" t="s">
        <v>227</v>
      </c>
      <c r="J628" s="24" t="s">
        <v>1936</v>
      </c>
      <c r="K628" s="24" t="s">
        <v>109</v>
      </c>
      <c r="L628" s="26" t="s">
        <v>110</v>
      </c>
    </row>
    <row r="629" customFormat="false" ht="15" hidden="false" customHeight="false" outlineLevel="0" collapsed="false">
      <c r="A629" s="27" t="s">
        <v>1941</v>
      </c>
      <c r="B629" s="28" t="s">
        <v>1334</v>
      </c>
      <c r="C629" s="33" t="n">
        <v>10</v>
      </c>
      <c r="D629" s="28" t="s">
        <v>325</v>
      </c>
      <c r="E629" s="28" t="s">
        <v>1323</v>
      </c>
      <c r="F629" s="30" t="s">
        <v>236</v>
      </c>
      <c r="G629" s="28" t="s">
        <v>1935</v>
      </c>
      <c r="H629" s="31" t="n">
        <v>10</v>
      </c>
      <c r="I629" s="28" t="s">
        <v>127</v>
      </c>
      <c r="J629" s="30" t="s">
        <v>1936</v>
      </c>
      <c r="K629" s="30" t="s">
        <v>109</v>
      </c>
      <c r="L629" s="32" t="s">
        <v>110</v>
      </c>
    </row>
    <row r="630" customFormat="false" ht="15" hidden="false" customHeight="false" outlineLevel="0" collapsed="false">
      <c r="A630" s="22" t="s">
        <v>1942</v>
      </c>
      <c r="B630" s="5" t="s">
        <v>1943</v>
      </c>
      <c r="C630" s="34" t="n">
        <v>0.8</v>
      </c>
      <c r="D630" s="5" t="s">
        <v>269</v>
      </c>
      <c r="E630" s="5" t="s">
        <v>546</v>
      </c>
      <c r="F630" s="24" t="s">
        <v>1582</v>
      </c>
      <c r="G630" s="5" t="s">
        <v>1935</v>
      </c>
      <c r="H630" s="25" t="n">
        <v>12</v>
      </c>
      <c r="I630" s="5" t="s">
        <v>227</v>
      </c>
      <c r="J630" s="24" t="s">
        <v>1936</v>
      </c>
      <c r="K630" s="24" t="s">
        <v>109</v>
      </c>
      <c r="L630" s="26" t="s">
        <v>110</v>
      </c>
    </row>
    <row r="631" customFormat="false" ht="15" hidden="false" customHeight="false" outlineLevel="0" collapsed="false">
      <c r="A631" s="27" t="s">
        <v>1944</v>
      </c>
      <c r="B631" s="28" t="s">
        <v>1945</v>
      </c>
      <c r="C631" s="29" t="n">
        <v>5.4</v>
      </c>
      <c r="D631" s="28" t="s">
        <v>269</v>
      </c>
      <c r="E631" s="28" t="s">
        <v>546</v>
      </c>
      <c r="F631" s="30" t="s">
        <v>814</v>
      </c>
      <c r="G631" s="28" t="s">
        <v>1935</v>
      </c>
      <c r="H631" s="31" t="n">
        <v>12</v>
      </c>
      <c r="I631" s="28" t="s">
        <v>227</v>
      </c>
      <c r="J631" s="30" t="s">
        <v>1936</v>
      </c>
      <c r="K631" s="30" t="s">
        <v>109</v>
      </c>
      <c r="L631" s="32" t="s">
        <v>110</v>
      </c>
    </row>
    <row r="632" customFormat="false" ht="15" hidden="false" customHeight="false" outlineLevel="0" collapsed="false">
      <c r="A632" s="22" t="s">
        <v>1946</v>
      </c>
      <c r="B632" s="5" t="s">
        <v>235</v>
      </c>
      <c r="C632" s="23" t="n">
        <v>10</v>
      </c>
      <c r="D632" s="5" t="s">
        <v>232</v>
      </c>
      <c r="E632" s="5" t="s">
        <v>1934</v>
      </c>
      <c r="F632" s="24" t="s">
        <v>236</v>
      </c>
      <c r="G632" s="5" t="s">
        <v>1935</v>
      </c>
      <c r="H632" s="25" t="n">
        <v>10</v>
      </c>
      <c r="I632" s="5" t="s">
        <v>227</v>
      </c>
      <c r="J632" s="24" t="s">
        <v>1936</v>
      </c>
      <c r="K632" s="24" t="s">
        <v>109</v>
      </c>
      <c r="L632" s="26" t="s">
        <v>110</v>
      </c>
    </row>
    <row r="633" customFormat="false" ht="15" hidden="false" customHeight="false" outlineLevel="0" collapsed="false">
      <c r="A633" s="27" t="s">
        <v>1947</v>
      </c>
      <c r="B633" s="28" t="s">
        <v>1948</v>
      </c>
      <c r="C633" s="33" t="n">
        <v>60</v>
      </c>
      <c r="D633" s="28" t="s">
        <v>224</v>
      </c>
      <c r="E633" s="28" t="s">
        <v>666</v>
      </c>
      <c r="F633" s="30" t="s">
        <v>300</v>
      </c>
      <c r="G633" s="28" t="s">
        <v>1935</v>
      </c>
      <c r="H633" s="31" t="n">
        <v>45</v>
      </c>
      <c r="I633" s="28" t="s">
        <v>227</v>
      </c>
      <c r="J633" s="30" t="s">
        <v>1936</v>
      </c>
      <c r="K633" s="30" t="s">
        <v>109</v>
      </c>
      <c r="L633" s="32" t="s">
        <v>110</v>
      </c>
    </row>
    <row r="634" customFormat="false" ht="15" hidden="false" customHeight="false" outlineLevel="0" collapsed="false">
      <c r="A634" s="22" t="s">
        <v>1949</v>
      </c>
      <c r="B634" s="5" t="s">
        <v>1950</v>
      </c>
      <c r="C634" s="23" t="n">
        <v>5</v>
      </c>
      <c r="D634" s="5" t="s">
        <v>325</v>
      </c>
      <c r="E634" s="5" t="s">
        <v>1934</v>
      </c>
      <c r="F634" s="24" t="s">
        <v>398</v>
      </c>
      <c r="G634" s="5" t="s">
        <v>1935</v>
      </c>
      <c r="H634" s="25" t="n">
        <v>45</v>
      </c>
      <c r="I634" s="5" t="s">
        <v>227</v>
      </c>
      <c r="J634" s="24" t="s">
        <v>1936</v>
      </c>
      <c r="K634" s="24" t="s">
        <v>109</v>
      </c>
      <c r="L634" s="26" t="s">
        <v>110</v>
      </c>
    </row>
    <row r="635" customFormat="false" ht="15" hidden="false" customHeight="false" outlineLevel="0" collapsed="false">
      <c r="A635" s="27" t="s">
        <v>1951</v>
      </c>
      <c r="B635" s="28" t="s">
        <v>1952</v>
      </c>
      <c r="C635" s="33" t="n">
        <v>9</v>
      </c>
      <c r="D635" s="28" t="s">
        <v>325</v>
      </c>
      <c r="E635" s="28" t="s">
        <v>1953</v>
      </c>
      <c r="F635" s="30" t="s">
        <v>1954</v>
      </c>
      <c r="G635" s="28" t="s">
        <v>1935</v>
      </c>
      <c r="H635" s="31" t="n">
        <v>44</v>
      </c>
      <c r="I635" s="28" t="s">
        <v>227</v>
      </c>
      <c r="J635" s="30" t="s">
        <v>1936</v>
      </c>
      <c r="K635" s="30" t="s">
        <v>109</v>
      </c>
      <c r="L635" s="32" t="s">
        <v>110</v>
      </c>
    </row>
    <row r="636" customFormat="false" ht="15" hidden="false" customHeight="false" outlineLevel="0" collapsed="false">
      <c r="A636" s="22" t="s">
        <v>1955</v>
      </c>
      <c r="B636" s="5" t="s">
        <v>1334</v>
      </c>
      <c r="C636" s="23" t="n">
        <v>10</v>
      </c>
      <c r="D636" s="5" t="s">
        <v>299</v>
      </c>
      <c r="E636" s="5" t="s">
        <v>114</v>
      </c>
      <c r="F636" s="24" t="s">
        <v>236</v>
      </c>
      <c r="G636" s="5" t="s">
        <v>116</v>
      </c>
      <c r="H636" s="25" t="n">
        <v>9</v>
      </c>
      <c r="I636" s="5" t="s">
        <v>127</v>
      </c>
      <c r="J636" s="24" t="s">
        <v>118</v>
      </c>
      <c r="K636" s="24" t="s">
        <v>109</v>
      </c>
      <c r="L636" s="26" t="s">
        <v>110</v>
      </c>
    </row>
    <row r="637" customFormat="false" ht="15" hidden="false" customHeight="false" outlineLevel="0" collapsed="false">
      <c r="A637" s="27" t="s">
        <v>1956</v>
      </c>
      <c r="B637" s="28" t="s">
        <v>1957</v>
      </c>
      <c r="C637" s="33" t="n">
        <v>11</v>
      </c>
      <c r="D637" s="28" t="s">
        <v>269</v>
      </c>
      <c r="E637" s="28" t="s">
        <v>1934</v>
      </c>
      <c r="F637" s="30" t="s">
        <v>1480</v>
      </c>
      <c r="G637" s="28" t="s">
        <v>1935</v>
      </c>
      <c r="H637" s="31" t="n">
        <v>45</v>
      </c>
      <c r="I637" s="28" t="s">
        <v>227</v>
      </c>
      <c r="J637" s="30" t="s">
        <v>1936</v>
      </c>
      <c r="K637" s="30" t="s">
        <v>109</v>
      </c>
      <c r="L637" s="32" t="s">
        <v>110</v>
      </c>
    </row>
    <row r="638" customFormat="false" ht="15" hidden="false" customHeight="false" outlineLevel="0" collapsed="false">
      <c r="A638" s="22" t="s">
        <v>1958</v>
      </c>
      <c r="B638" s="5" t="s">
        <v>1959</v>
      </c>
      <c r="C638" s="23" t="n">
        <v>30</v>
      </c>
      <c r="D638" s="5" t="s">
        <v>299</v>
      </c>
      <c r="E638" s="5" t="s">
        <v>546</v>
      </c>
      <c r="F638" s="24" t="s">
        <v>1515</v>
      </c>
      <c r="G638" s="5" t="s">
        <v>116</v>
      </c>
      <c r="H638" s="25" t="n">
        <v>44</v>
      </c>
      <c r="I638" s="5" t="s">
        <v>227</v>
      </c>
      <c r="J638" s="24" t="s">
        <v>118</v>
      </c>
      <c r="K638" s="24" t="s">
        <v>109</v>
      </c>
      <c r="L638" s="26" t="s">
        <v>110</v>
      </c>
    </row>
    <row r="639" customFormat="false" ht="15" hidden="false" customHeight="false" outlineLevel="0" collapsed="false">
      <c r="A639" s="27" t="s">
        <v>1960</v>
      </c>
      <c r="B639" s="28" t="s">
        <v>1961</v>
      </c>
      <c r="C639" s="29" t="n">
        <v>4.9</v>
      </c>
      <c r="D639" s="28" t="s">
        <v>130</v>
      </c>
      <c r="E639" s="28" t="s">
        <v>546</v>
      </c>
      <c r="F639" s="30" t="s">
        <v>779</v>
      </c>
      <c r="G639" s="28" t="s">
        <v>116</v>
      </c>
      <c r="H639" s="31" t="n">
        <v>56</v>
      </c>
      <c r="I639" s="28" t="s">
        <v>227</v>
      </c>
      <c r="J639" s="30" t="s">
        <v>118</v>
      </c>
      <c r="K639" s="30" t="s">
        <v>109</v>
      </c>
      <c r="L639" s="32" t="s">
        <v>110</v>
      </c>
    </row>
    <row r="640" customFormat="false" ht="15" hidden="false" customHeight="false" outlineLevel="0" collapsed="false">
      <c r="A640" s="22" t="s">
        <v>1962</v>
      </c>
      <c r="B640" s="5" t="s">
        <v>648</v>
      </c>
      <c r="C640" s="34" t="n">
        <v>4.9</v>
      </c>
      <c r="D640" s="5" t="s">
        <v>130</v>
      </c>
      <c r="E640" s="5" t="s">
        <v>546</v>
      </c>
      <c r="F640" s="24" t="s">
        <v>779</v>
      </c>
      <c r="G640" s="5" t="s">
        <v>116</v>
      </c>
      <c r="H640" s="25" t="n">
        <v>56</v>
      </c>
      <c r="I640" s="5" t="s">
        <v>227</v>
      </c>
      <c r="J640" s="24" t="s">
        <v>118</v>
      </c>
      <c r="K640" s="24" t="s">
        <v>109</v>
      </c>
      <c r="L640" s="26" t="s">
        <v>110</v>
      </c>
    </row>
    <row r="641" customFormat="false" ht="15" hidden="false" customHeight="false" outlineLevel="0" collapsed="false">
      <c r="A641" s="27" t="s">
        <v>1963</v>
      </c>
      <c r="B641" s="28" t="s">
        <v>312</v>
      </c>
      <c r="C641" s="29" t="n">
        <v>4.2</v>
      </c>
      <c r="D641" s="28" t="s">
        <v>130</v>
      </c>
      <c r="E641" s="28" t="s">
        <v>546</v>
      </c>
      <c r="F641" s="30" t="s">
        <v>563</v>
      </c>
      <c r="G641" s="28" t="s">
        <v>116</v>
      </c>
      <c r="H641" s="31" t="n">
        <v>56</v>
      </c>
      <c r="I641" s="28" t="s">
        <v>227</v>
      </c>
      <c r="J641" s="30" t="s">
        <v>118</v>
      </c>
      <c r="K641" s="30" t="s">
        <v>109</v>
      </c>
      <c r="L641" s="32" t="s">
        <v>110</v>
      </c>
    </row>
    <row r="642" customFormat="false" ht="15" hidden="false" customHeight="false" outlineLevel="0" collapsed="false">
      <c r="A642" s="22" t="s">
        <v>1964</v>
      </c>
      <c r="B642" s="5" t="s">
        <v>175</v>
      </c>
      <c r="C642" s="34" t="n">
        <v>2.63</v>
      </c>
      <c r="D642" s="5" t="s">
        <v>133</v>
      </c>
      <c r="E642" s="5" t="s">
        <v>193</v>
      </c>
      <c r="F642" s="24" t="s">
        <v>185</v>
      </c>
      <c r="G642" s="5" t="s">
        <v>689</v>
      </c>
      <c r="H642" s="25" t="n">
        <v>5</v>
      </c>
      <c r="I642" s="5" t="s">
        <v>107</v>
      </c>
      <c r="J642" s="24" t="s">
        <v>690</v>
      </c>
      <c r="K642" s="24" t="s">
        <v>109</v>
      </c>
      <c r="L642" s="26" t="s">
        <v>110</v>
      </c>
    </row>
    <row r="643" customFormat="false" ht="15" hidden="false" customHeight="false" outlineLevel="0" collapsed="false">
      <c r="A643" s="27" t="s">
        <v>1965</v>
      </c>
      <c r="B643" s="28" t="s">
        <v>1797</v>
      </c>
      <c r="C643" s="33" t="n">
        <v>4</v>
      </c>
      <c r="D643" s="28" t="s">
        <v>130</v>
      </c>
      <c r="E643" s="28" t="s">
        <v>546</v>
      </c>
      <c r="F643" s="30" t="s">
        <v>467</v>
      </c>
      <c r="G643" s="28" t="s">
        <v>116</v>
      </c>
      <c r="H643" s="31" t="n">
        <v>76</v>
      </c>
      <c r="I643" s="28" t="s">
        <v>227</v>
      </c>
      <c r="J643" s="30" t="s">
        <v>118</v>
      </c>
      <c r="K643" s="30" t="s">
        <v>109</v>
      </c>
      <c r="L643" s="32" t="s">
        <v>110</v>
      </c>
    </row>
    <row r="644" customFormat="false" ht="15" hidden="false" customHeight="false" outlineLevel="0" collapsed="false">
      <c r="A644" s="22" t="s">
        <v>1966</v>
      </c>
      <c r="B644" s="5" t="s">
        <v>1967</v>
      </c>
      <c r="C644" s="34" t="n">
        <v>1.4</v>
      </c>
      <c r="D644" s="5" t="s">
        <v>206</v>
      </c>
      <c r="E644" s="5" t="s">
        <v>160</v>
      </c>
      <c r="F644" s="24" t="s">
        <v>1968</v>
      </c>
      <c r="G644" s="5" t="s">
        <v>689</v>
      </c>
      <c r="H644" s="25" t="n">
        <v>6</v>
      </c>
      <c r="I644" s="5" t="s">
        <v>127</v>
      </c>
      <c r="J644" s="24" t="s">
        <v>690</v>
      </c>
      <c r="K644" s="24" t="s">
        <v>109</v>
      </c>
      <c r="L644" s="26" t="s">
        <v>110</v>
      </c>
    </row>
    <row r="645" customFormat="false" ht="15" hidden="false" customHeight="false" outlineLevel="0" collapsed="false">
      <c r="A645" s="27" t="s">
        <v>1969</v>
      </c>
      <c r="B645" s="28" t="s">
        <v>511</v>
      </c>
      <c r="C645" s="29" t="n">
        <v>7.4</v>
      </c>
      <c r="D645" s="28" t="s">
        <v>512</v>
      </c>
      <c r="E645" s="28" t="s">
        <v>1970</v>
      </c>
      <c r="F645" s="30" t="s">
        <v>1401</v>
      </c>
      <c r="G645" s="28" t="s">
        <v>116</v>
      </c>
      <c r="H645" s="31" t="n">
        <v>67</v>
      </c>
      <c r="I645" s="28" t="s">
        <v>107</v>
      </c>
      <c r="J645" s="30" t="s">
        <v>118</v>
      </c>
      <c r="K645" s="30" t="s">
        <v>109</v>
      </c>
      <c r="L645" s="32" t="s">
        <v>110</v>
      </c>
    </row>
    <row r="646" customFormat="false" ht="15" hidden="false" customHeight="false" outlineLevel="0" collapsed="false">
      <c r="A646" s="22" t="s">
        <v>1971</v>
      </c>
      <c r="B646" s="5" t="s">
        <v>1336</v>
      </c>
      <c r="C646" s="23" t="n">
        <v>398</v>
      </c>
      <c r="D646" s="5" t="s">
        <v>103</v>
      </c>
      <c r="E646" s="5" t="s">
        <v>160</v>
      </c>
      <c r="F646" s="24" t="s">
        <v>688</v>
      </c>
      <c r="G646" s="5" t="s">
        <v>689</v>
      </c>
      <c r="H646" s="25" t="n">
        <v>5</v>
      </c>
      <c r="I646" s="5" t="s">
        <v>127</v>
      </c>
      <c r="J646" s="24" t="s">
        <v>690</v>
      </c>
      <c r="K646" s="24" t="s">
        <v>109</v>
      </c>
      <c r="L646" s="26" t="s">
        <v>110</v>
      </c>
    </row>
    <row r="647" customFormat="false" ht="15" hidden="false" customHeight="false" outlineLevel="0" collapsed="false">
      <c r="A647" s="27" t="s">
        <v>1972</v>
      </c>
      <c r="B647" s="28" t="s">
        <v>517</v>
      </c>
      <c r="C647" s="33" t="n">
        <v>87</v>
      </c>
      <c r="D647" s="28" t="s">
        <v>299</v>
      </c>
      <c r="E647" s="28" t="s">
        <v>1970</v>
      </c>
      <c r="F647" s="30" t="s">
        <v>1398</v>
      </c>
      <c r="G647" s="28" t="s">
        <v>116</v>
      </c>
      <c r="H647" s="31" t="n">
        <v>67</v>
      </c>
      <c r="I647" s="28" t="s">
        <v>107</v>
      </c>
      <c r="J647" s="30" t="s">
        <v>118</v>
      </c>
      <c r="K647" s="30" t="s">
        <v>109</v>
      </c>
      <c r="L647" s="32" t="s">
        <v>110</v>
      </c>
    </row>
    <row r="648" customFormat="false" ht="15" hidden="false" customHeight="false" outlineLevel="0" collapsed="false">
      <c r="A648" s="22" t="s">
        <v>1973</v>
      </c>
      <c r="B648" s="5" t="s">
        <v>235</v>
      </c>
      <c r="C648" s="23" t="n">
        <v>10</v>
      </c>
      <c r="D648" s="5" t="s">
        <v>232</v>
      </c>
      <c r="E648" s="5" t="s">
        <v>1974</v>
      </c>
      <c r="F648" s="24" t="s">
        <v>236</v>
      </c>
      <c r="G648" s="5" t="s">
        <v>116</v>
      </c>
      <c r="H648" s="25" t="n">
        <v>70</v>
      </c>
      <c r="I648" s="5" t="s">
        <v>227</v>
      </c>
      <c r="J648" s="24" t="s">
        <v>118</v>
      </c>
      <c r="K648" s="24" t="s">
        <v>109</v>
      </c>
      <c r="L648" s="26" t="s">
        <v>110</v>
      </c>
    </row>
    <row r="649" customFormat="false" ht="15" hidden="false" customHeight="false" outlineLevel="0" collapsed="false">
      <c r="A649" s="27" t="s">
        <v>1975</v>
      </c>
      <c r="B649" s="28" t="s">
        <v>155</v>
      </c>
      <c r="C649" s="33" t="n">
        <v>8</v>
      </c>
      <c r="D649" s="28" t="s">
        <v>130</v>
      </c>
      <c r="E649" s="28" t="s">
        <v>1974</v>
      </c>
      <c r="F649" s="30" t="s">
        <v>157</v>
      </c>
      <c r="G649" s="28" t="s">
        <v>116</v>
      </c>
      <c r="H649" s="31" t="n">
        <v>70</v>
      </c>
      <c r="I649" s="28" t="s">
        <v>107</v>
      </c>
      <c r="J649" s="30" t="s">
        <v>118</v>
      </c>
      <c r="K649" s="30" t="s">
        <v>109</v>
      </c>
      <c r="L649" s="32" t="s">
        <v>110</v>
      </c>
    </row>
    <row r="650" customFormat="false" ht="15" hidden="false" customHeight="false" outlineLevel="0" collapsed="false">
      <c r="A650" s="22" t="s">
        <v>1976</v>
      </c>
      <c r="B650" s="5" t="s">
        <v>1977</v>
      </c>
      <c r="C650" s="23" t="n">
        <v>205</v>
      </c>
      <c r="D650" s="5" t="s">
        <v>103</v>
      </c>
      <c r="E650" s="5" t="s">
        <v>160</v>
      </c>
      <c r="F650" s="24" t="s">
        <v>1978</v>
      </c>
      <c r="G650" s="5" t="s">
        <v>689</v>
      </c>
      <c r="H650" s="25" t="n">
        <v>8</v>
      </c>
      <c r="I650" s="5" t="s">
        <v>227</v>
      </c>
      <c r="J650" s="24" t="s">
        <v>690</v>
      </c>
      <c r="K650" s="24" t="s">
        <v>109</v>
      </c>
      <c r="L650" s="26" t="s">
        <v>110</v>
      </c>
    </row>
    <row r="651" customFormat="false" ht="15" hidden="false" customHeight="false" outlineLevel="0" collapsed="false">
      <c r="A651" s="27" t="s">
        <v>1979</v>
      </c>
      <c r="B651" s="28" t="s">
        <v>414</v>
      </c>
      <c r="C651" s="29" t="n">
        <v>9.5</v>
      </c>
      <c r="D651" s="28" t="s">
        <v>299</v>
      </c>
      <c r="E651" s="28" t="s">
        <v>160</v>
      </c>
      <c r="F651" s="30" t="s">
        <v>1980</v>
      </c>
      <c r="G651" s="28" t="s">
        <v>689</v>
      </c>
      <c r="H651" s="31" t="n">
        <v>10</v>
      </c>
      <c r="I651" s="28" t="s">
        <v>227</v>
      </c>
      <c r="J651" s="30" t="s">
        <v>690</v>
      </c>
      <c r="K651" s="30" t="s">
        <v>109</v>
      </c>
      <c r="L651" s="32" t="s">
        <v>110</v>
      </c>
    </row>
    <row r="652" customFormat="false" ht="15" hidden="false" customHeight="false" outlineLevel="0" collapsed="false">
      <c r="A652" s="22" t="s">
        <v>1981</v>
      </c>
      <c r="B652" s="5" t="s">
        <v>312</v>
      </c>
      <c r="C652" s="23" t="n">
        <v>4276</v>
      </c>
      <c r="D652" s="5" t="s">
        <v>103</v>
      </c>
      <c r="E652" s="5" t="s">
        <v>160</v>
      </c>
      <c r="F652" s="24" t="s">
        <v>1982</v>
      </c>
      <c r="G652" s="5" t="s">
        <v>689</v>
      </c>
      <c r="H652" s="25" t="n">
        <v>10</v>
      </c>
      <c r="I652" s="5" t="s">
        <v>227</v>
      </c>
      <c r="J652" s="24" t="s">
        <v>690</v>
      </c>
      <c r="K652" s="24" t="s">
        <v>109</v>
      </c>
      <c r="L652" s="26" t="s">
        <v>110</v>
      </c>
    </row>
    <row r="653" customFormat="false" ht="15" hidden="false" customHeight="false" outlineLevel="0" collapsed="false">
      <c r="A653" s="27" t="s">
        <v>1983</v>
      </c>
      <c r="B653" s="28" t="s">
        <v>636</v>
      </c>
      <c r="C653" s="29" t="n">
        <v>6.6</v>
      </c>
      <c r="D653" s="28" t="s">
        <v>299</v>
      </c>
      <c r="E653" s="28" t="s">
        <v>160</v>
      </c>
      <c r="F653" s="30" t="s">
        <v>1984</v>
      </c>
      <c r="G653" s="28" t="s">
        <v>689</v>
      </c>
      <c r="H653" s="31" t="n">
        <v>9</v>
      </c>
      <c r="I653" s="28" t="s">
        <v>227</v>
      </c>
      <c r="J653" s="30" t="s">
        <v>690</v>
      </c>
      <c r="K653" s="30" t="s">
        <v>109</v>
      </c>
      <c r="L653" s="32" t="s">
        <v>110</v>
      </c>
    </row>
    <row r="654" customFormat="false" ht="15" hidden="false" customHeight="false" outlineLevel="0" collapsed="false">
      <c r="A654" s="22" t="s">
        <v>1985</v>
      </c>
      <c r="B654" s="5" t="s">
        <v>633</v>
      </c>
      <c r="C654" s="23" t="n">
        <v>12506</v>
      </c>
      <c r="D654" s="5" t="s">
        <v>103</v>
      </c>
      <c r="E654" s="5" t="s">
        <v>160</v>
      </c>
      <c r="F654" s="24" t="s">
        <v>1986</v>
      </c>
      <c r="G654" s="5" t="s">
        <v>689</v>
      </c>
      <c r="H654" s="25" t="n">
        <v>9</v>
      </c>
      <c r="I654" s="5" t="s">
        <v>227</v>
      </c>
      <c r="J654" s="24" t="s">
        <v>690</v>
      </c>
      <c r="K654" s="24" t="s">
        <v>109</v>
      </c>
      <c r="L654" s="26" t="s">
        <v>110</v>
      </c>
    </row>
    <row r="655" customFormat="false" ht="15" hidden="false" customHeight="false" outlineLevel="0" collapsed="false">
      <c r="A655" s="27" t="s">
        <v>1987</v>
      </c>
      <c r="B655" s="28" t="s">
        <v>1988</v>
      </c>
      <c r="C655" s="33" t="n">
        <v>3</v>
      </c>
      <c r="D655" s="28" t="s">
        <v>133</v>
      </c>
      <c r="E655" s="28" t="s">
        <v>302</v>
      </c>
      <c r="F655" s="30" t="s">
        <v>134</v>
      </c>
      <c r="G655" s="28" t="s">
        <v>689</v>
      </c>
      <c r="H655" s="31" t="n">
        <v>16</v>
      </c>
      <c r="I655" s="28" t="s">
        <v>107</v>
      </c>
      <c r="J655" s="30" t="s">
        <v>690</v>
      </c>
      <c r="K655" s="30" t="s">
        <v>109</v>
      </c>
      <c r="L655" s="32" t="s">
        <v>110</v>
      </c>
    </row>
    <row r="656" customFormat="false" ht="15" hidden="false" customHeight="false" outlineLevel="0" collapsed="false">
      <c r="A656" s="22" t="s">
        <v>1989</v>
      </c>
      <c r="B656" s="5" t="s">
        <v>1990</v>
      </c>
      <c r="C656" s="23" t="n">
        <v>663</v>
      </c>
      <c r="D656" s="5" t="s">
        <v>103</v>
      </c>
      <c r="E656" s="5" t="s">
        <v>160</v>
      </c>
      <c r="F656" s="24" t="s">
        <v>1991</v>
      </c>
      <c r="G656" s="5" t="s">
        <v>689</v>
      </c>
      <c r="H656" s="25" t="n">
        <v>15</v>
      </c>
      <c r="I656" s="5" t="s">
        <v>127</v>
      </c>
      <c r="J656" s="24" t="s">
        <v>690</v>
      </c>
      <c r="K656" s="24" t="s">
        <v>109</v>
      </c>
      <c r="L656" s="26" t="s">
        <v>110</v>
      </c>
    </row>
    <row r="657" customFormat="false" ht="15" hidden="false" customHeight="false" outlineLevel="0" collapsed="false">
      <c r="A657" s="27" t="s">
        <v>1992</v>
      </c>
      <c r="B657" s="28" t="s">
        <v>1325</v>
      </c>
      <c r="C657" s="33" t="n">
        <v>350</v>
      </c>
      <c r="D657" s="28" t="s">
        <v>103</v>
      </c>
      <c r="E657" s="28" t="s">
        <v>160</v>
      </c>
      <c r="F657" s="30" t="s">
        <v>1326</v>
      </c>
      <c r="G657" s="28" t="s">
        <v>689</v>
      </c>
      <c r="H657" s="31" t="n">
        <v>13</v>
      </c>
      <c r="I657" s="28" t="s">
        <v>127</v>
      </c>
      <c r="J657" s="30" t="s">
        <v>690</v>
      </c>
      <c r="K657" s="30" t="s">
        <v>109</v>
      </c>
      <c r="L657" s="32" t="s">
        <v>110</v>
      </c>
    </row>
    <row r="658" customFormat="false" ht="15" hidden="false" customHeight="false" outlineLevel="0" collapsed="false">
      <c r="A658" s="22" t="s">
        <v>1993</v>
      </c>
      <c r="B658" s="5" t="s">
        <v>1994</v>
      </c>
      <c r="C658" s="34" t="n">
        <v>7.1</v>
      </c>
      <c r="D658" s="5" t="s">
        <v>299</v>
      </c>
      <c r="E658" s="5" t="s">
        <v>160</v>
      </c>
      <c r="F658" s="24" t="s">
        <v>1995</v>
      </c>
      <c r="G658" s="5" t="s">
        <v>689</v>
      </c>
      <c r="H658" s="25" t="n">
        <v>10</v>
      </c>
      <c r="I658" s="5" t="s">
        <v>227</v>
      </c>
      <c r="J658" s="24" t="s">
        <v>690</v>
      </c>
      <c r="K658" s="24" t="s">
        <v>109</v>
      </c>
      <c r="L658" s="26" t="s">
        <v>110</v>
      </c>
    </row>
    <row r="659" customFormat="false" ht="15" hidden="false" customHeight="false" outlineLevel="0" collapsed="false">
      <c r="A659" s="27" t="s">
        <v>1996</v>
      </c>
      <c r="B659" s="28" t="s">
        <v>1997</v>
      </c>
      <c r="C659" s="33" t="n">
        <v>-181</v>
      </c>
      <c r="D659" s="28" t="s">
        <v>103</v>
      </c>
      <c r="E659" s="28" t="s">
        <v>160</v>
      </c>
      <c r="F659" s="30" t="s">
        <v>1998</v>
      </c>
      <c r="G659" s="28" t="s">
        <v>689</v>
      </c>
      <c r="H659" s="31" t="n">
        <v>24</v>
      </c>
      <c r="I659" s="28" t="s">
        <v>117</v>
      </c>
      <c r="J659" s="30" t="s">
        <v>690</v>
      </c>
      <c r="K659" s="30" t="s">
        <v>109</v>
      </c>
      <c r="L659" s="32" t="s">
        <v>110</v>
      </c>
    </row>
    <row r="660" customFormat="false" ht="15" hidden="false" customHeight="false" outlineLevel="0" collapsed="false">
      <c r="A660" s="22" t="s">
        <v>1999</v>
      </c>
      <c r="B660" s="5" t="s">
        <v>2000</v>
      </c>
      <c r="C660" s="23" t="n">
        <v>-652</v>
      </c>
      <c r="D660" s="5" t="s">
        <v>103</v>
      </c>
      <c r="E660" s="5" t="s">
        <v>160</v>
      </c>
      <c r="F660" s="24" t="s">
        <v>2001</v>
      </c>
      <c r="G660" s="5" t="s">
        <v>689</v>
      </c>
      <c r="H660" s="25" t="n">
        <v>27</v>
      </c>
      <c r="I660" s="5" t="s">
        <v>127</v>
      </c>
      <c r="J660" s="24" t="s">
        <v>690</v>
      </c>
      <c r="K660" s="24" t="s">
        <v>109</v>
      </c>
      <c r="L660" s="26" t="s">
        <v>110</v>
      </c>
    </row>
    <row r="661" customFormat="false" ht="15" hidden="false" customHeight="false" outlineLevel="0" collapsed="false">
      <c r="A661" s="27" t="s">
        <v>2002</v>
      </c>
      <c r="B661" s="28" t="s">
        <v>2003</v>
      </c>
      <c r="C661" s="29" t="n">
        <v>3.76</v>
      </c>
      <c r="D661" s="28" t="s">
        <v>299</v>
      </c>
      <c r="E661" s="28" t="s">
        <v>160</v>
      </c>
      <c r="F661" s="30" t="s">
        <v>2004</v>
      </c>
      <c r="G661" s="28" t="s">
        <v>689</v>
      </c>
      <c r="H661" s="31" t="n">
        <v>27</v>
      </c>
      <c r="I661" s="28" t="s">
        <v>107</v>
      </c>
      <c r="J661" s="30" t="s">
        <v>690</v>
      </c>
      <c r="K661" s="30" t="s">
        <v>109</v>
      </c>
      <c r="L661" s="32" t="s">
        <v>110</v>
      </c>
    </row>
    <row r="662" customFormat="false" ht="15" hidden="false" customHeight="false" outlineLevel="0" collapsed="false">
      <c r="A662" s="22" t="s">
        <v>2005</v>
      </c>
      <c r="B662" s="5" t="s">
        <v>2006</v>
      </c>
      <c r="C662" s="34" t="n">
        <v>9.5</v>
      </c>
      <c r="D662" s="5" t="s">
        <v>299</v>
      </c>
      <c r="E662" s="5" t="s">
        <v>160</v>
      </c>
      <c r="F662" s="24" t="s">
        <v>1980</v>
      </c>
      <c r="G662" s="5" t="s">
        <v>689</v>
      </c>
      <c r="H662" s="25" t="n">
        <v>22</v>
      </c>
      <c r="I662" s="5" t="s">
        <v>227</v>
      </c>
      <c r="J662" s="24" t="s">
        <v>690</v>
      </c>
      <c r="K662" s="24" t="s">
        <v>109</v>
      </c>
      <c r="L662" s="26" t="s">
        <v>110</v>
      </c>
    </row>
    <row r="663" customFormat="false" ht="15" hidden="false" customHeight="false" outlineLevel="0" collapsed="false">
      <c r="A663" s="27" t="s">
        <v>2007</v>
      </c>
      <c r="B663" s="28" t="s">
        <v>385</v>
      </c>
      <c r="C663" s="33" t="n">
        <v>75</v>
      </c>
      <c r="D663" s="28" t="s">
        <v>103</v>
      </c>
      <c r="E663" s="28" t="s">
        <v>160</v>
      </c>
      <c r="F663" s="30" t="s">
        <v>2008</v>
      </c>
      <c r="G663" s="28" t="s">
        <v>689</v>
      </c>
      <c r="H663" s="31" t="n">
        <v>29</v>
      </c>
      <c r="I663" s="28" t="s">
        <v>127</v>
      </c>
      <c r="J663" s="30" t="s">
        <v>690</v>
      </c>
      <c r="K663" s="30" t="s">
        <v>109</v>
      </c>
      <c r="L663" s="32" t="s">
        <v>110</v>
      </c>
    </row>
    <row r="664" customFormat="false" ht="15" hidden="false" customHeight="false" outlineLevel="0" collapsed="false">
      <c r="A664" s="22" t="s">
        <v>2009</v>
      </c>
      <c r="B664" s="5" t="s">
        <v>2010</v>
      </c>
      <c r="C664" s="23" t="n">
        <v>178</v>
      </c>
      <c r="D664" s="5" t="s">
        <v>103</v>
      </c>
      <c r="E664" s="5" t="s">
        <v>160</v>
      </c>
      <c r="F664" s="24" t="s">
        <v>2011</v>
      </c>
      <c r="G664" s="5" t="s">
        <v>689</v>
      </c>
      <c r="H664" s="25" t="n">
        <v>24</v>
      </c>
      <c r="I664" s="5" t="s">
        <v>117</v>
      </c>
      <c r="J664" s="24" t="s">
        <v>690</v>
      </c>
      <c r="K664" s="24" t="s">
        <v>109</v>
      </c>
      <c r="L664" s="26" t="s">
        <v>110</v>
      </c>
    </row>
    <row r="665" customFormat="false" ht="15" hidden="false" customHeight="false" outlineLevel="0" collapsed="false">
      <c r="A665" s="27" t="s">
        <v>2012</v>
      </c>
      <c r="B665" s="28" t="s">
        <v>2013</v>
      </c>
      <c r="C665" s="33" t="n">
        <v>663</v>
      </c>
      <c r="D665" s="28" t="s">
        <v>103</v>
      </c>
      <c r="E665" s="28" t="s">
        <v>160</v>
      </c>
      <c r="F665" s="30" t="s">
        <v>1991</v>
      </c>
      <c r="G665" s="28" t="s">
        <v>689</v>
      </c>
      <c r="H665" s="31" t="n">
        <v>29</v>
      </c>
      <c r="I665" s="28" t="s">
        <v>127</v>
      </c>
      <c r="J665" s="30" t="s">
        <v>690</v>
      </c>
      <c r="K665" s="30" t="s">
        <v>109</v>
      </c>
      <c r="L665" s="32" t="s">
        <v>110</v>
      </c>
    </row>
    <row r="666" customFormat="false" ht="15" hidden="false" customHeight="false" outlineLevel="0" collapsed="false">
      <c r="A666" s="22" t="s">
        <v>2014</v>
      </c>
      <c r="B666" s="5" t="s">
        <v>2015</v>
      </c>
      <c r="C666" s="23" t="n">
        <v>-912</v>
      </c>
      <c r="D666" s="5" t="s">
        <v>103</v>
      </c>
      <c r="E666" s="5" t="s">
        <v>160</v>
      </c>
      <c r="F666" s="24" t="s">
        <v>2016</v>
      </c>
      <c r="G666" s="5" t="s">
        <v>689</v>
      </c>
      <c r="H666" s="25" t="n">
        <v>24</v>
      </c>
      <c r="I666" s="5" t="s">
        <v>117</v>
      </c>
      <c r="J666" s="24" t="s">
        <v>690</v>
      </c>
      <c r="K666" s="24" t="s">
        <v>109</v>
      </c>
      <c r="L666" s="26" t="s">
        <v>110</v>
      </c>
    </row>
    <row r="667" customFormat="false" ht="15" hidden="false" customHeight="false" outlineLevel="0" collapsed="false">
      <c r="A667" s="27" t="s">
        <v>2017</v>
      </c>
      <c r="B667" s="28" t="s">
        <v>2018</v>
      </c>
      <c r="C667" s="33" t="n">
        <v>-135</v>
      </c>
      <c r="D667" s="28" t="s">
        <v>103</v>
      </c>
      <c r="E667" s="28" t="s">
        <v>160</v>
      </c>
      <c r="F667" s="30" t="s">
        <v>2019</v>
      </c>
      <c r="G667" s="28" t="s">
        <v>689</v>
      </c>
      <c r="H667" s="31" t="n">
        <v>24</v>
      </c>
      <c r="I667" s="28" t="s">
        <v>117</v>
      </c>
      <c r="J667" s="30" t="s">
        <v>690</v>
      </c>
      <c r="K667" s="30" t="s">
        <v>109</v>
      </c>
      <c r="L667" s="32" t="s">
        <v>110</v>
      </c>
    </row>
    <row r="668" customFormat="false" ht="15" hidden="false" customHeight="false" outlineLevel="0" collapsed="false">
      <c r="A668" s="22" t="s">
        <v>2020</v>
      </c>
      <c r="B668" s="5" t="s">
        <v>2021</v>
      </c>
      <c r="C668" s="23" t="n">
        <v>204</v>
      </c>
      <c r="D668" s="5" t="s">
        <v>103</v>
      </c>
      <c r="E668" s="5" t="s">
        <v>160</v>
      </c>
      <c r="F668" s="24" t="s">
        <v>2022</v>
      </c>
      <c r="G668" s="5" t="s">
        <v>689</v>
      </c>
      <c r="H668" s="25" t="n">
        <v>29</v>
      </c>
      <c r="I668" s="5" t="s">
        <v>127</v>
      </c>
      <c r="J668" s="24" t="s">
        <v>690</v>
      </c>
      <c r="K668" s="24" t="s">
        <v>109</v>
      </c>
      <c r="L668" s="26" t="s">
        <v>110</v>
      </c>
    </row>
    <row r="669" customFormat="false" ht="15" hidden="false" customHeight="false" outlineLevel="0" collapsed="false">
      <c r="A669" s="27" t="s">
        <v>2023</v>
      </c>
      <c r="B669" s="28" t="s">
        <v>102</v>
      </c>
      <c r="C669" s="33" t="n">
        <v>6543</v>
      </c>
      <c r="D669" s="28" t="s">
        <v>103</v>
      </c>
      <c r="E669" s="28" t="s">
        <v>546</v>
      </c>
      <c r="F669" s="30" t="s">
        <v>2024</v>
      </c>
      <c r="G669" s="28" t="s">
        <v>689</v>
      </c>
      <c r="H669" s="31" t="n">
        <v>20</v>
      </c>
      <c r="I669" s="28" t="s">
        <v>107</v>
      </c>
      <c r="J669" s="30" t="s">
        <v>690</v>
      </c>
      <c r="K669" s="30" t="s">
        <v>109</v>
      </c>
      <c r="L669" s="32" t="s">
        <v>110</v>
      </c>
    </row>
    <row r="670" customFormat="false" ht="15" hidden="false" customHeight="false" outlineLevel="0" collapsed="false">
      <c r="A670" s="22" t="s">
        <v>2025</v>
      </c>
      <c r="B670" s="5" t="s">
        <v>2026</v>
      </c>
      <c r="C670" s="34" t="n">
        <v>7.1</v>
      </c>
      <c r="D670" s="5" t="s">
        <v>299</v>
      </c>
      <c r="E670" s="5" t="s">
        <v>160</v>
      </c>
      <c r="F670" s="24" t="s">
        <v>1995</v>
      </c>
      <c r="G670" s="5" t="s">
        <v>689</v>
      </c>
      <c r="H670" s="25" t="n">
        <v>22</v>
      </c>
      <c r="I670" s="5" t="s">
        <v>227</v>
      </c>
      <c r="J670" s="24" t="s">
        <v>690</v>
      </c>
      <c r="K670" s="24" t="s">
        <v>109</v>
      </c>
      <c r="L670" s="26" t="s">
        <v>110</v>
      </c>
    </row>
    <row r="671" customFormat="false" ht="15" hidden="false" customHeight="false" outlineLevel="0" collapsed="false">
      <c r="A671" s="27" t="s">
        <v>2027</v>
      </c>
      <c r="B671" s="28" t="s">
        <v>2028</v>
      </c>
      <c r="C671" s="29" t="n">
        <v>2.13</v>
      </c>
      <c r="D671" s="28" t="s">
        <v>206</v>
      </c>
      <c r="E671" s="28" t="s">
        <v>160</v>
      </c>
      <c r="F671" s="30" t="s">
        <v>2029</v>
      </c>
      <c r="G671" s="28" t="s">
        <v>689</v>
      </c>
      <c r="H671" s="31" t="n">
        <v>27</v>
      </c>
      <c r="I671" s="28" t="s">
        <v>127</v>
      </c>
      <c r="J671" s="30" t="s">
        <v>690</v>
      </c>
      <c r="K671" s="30" t="s">
        <v>109</v>
      </c>
      <c r="L671" s="32" t="s">
        <v>110</v>
      </c>
    </row>
    <row r="672" customFormat="false" ht="15" hidden="false" customHeight="false" outlineLevel="0" collapsed="false">
      <c r="A672" s="22" t="s">
        <v>2030</v>
      </c>
      <c r="B672" s="5" t="s">
        <v>2031</v>
      </c>
      <c r="C672" s="23" t="n">
        <v>185</v>
      </c>
      <c r="D672" s="5" t="s">
        <v>103</v>
      </c>
      <c r="E672" s="5" t="s">
        <v>160</v>
      </c>
      <c r="F672" s="24" t="s">
        <v>2032</v>
      </c>
      <c r="G672" s="5" t="s">
        <v>689</v>
      </c>
      <c r="H672" s="25" t="n">
        <v>29</v>
      </c>
      <c r="I672" s="5" t="s">
        <v>127</v>
      </c>
      <c r="J672" s="24" t="s">
        <v>690</v>
      </c>
      <c r="K672" s="24" t="s">
        <v>109</v>
      </c>
      <c r="L672" s="26" t="s">
        <v>110</v>
      </c>
    </row>
    <row r="673" customFormat="false" ht="15" hidden="false" customHeight="false" outlineLevel="0" collapsed="false">
      <c r="A673" s="27" t="s">
        <v>2033</v>
      </c>
      <c r="B673" s="28" t="s">
        <v>2034</v>
      </c>
      <c r="C673" s="33" t="n">
        <v>500</v>
      </c>
      <c r="D673" s="28" t="s">
        <v>103</v>
      </c>
      <c r="E673" s="28" t="s">
        <v>160</v>
      </c>
      <c r="F673" s="30" t="s">
        <v>970</v>
      </c>
      <c r="G673" s="28" t="s">
        <v>689</v>
      </c>
      <c r="H673" s="31" t="n">
        <v>31</v>
      </c>
      <c r="I673" s="28" t="s">
        <v>107</v>
      </c>
      <c r="J673" s="30" t="s">
        <v>690</v>
      </c>
      <c r="K673" s="30" t="s">
        <v>109</v>
      </c>
      <c r="L673" s="32" t="s">
        <v>110</v>
      </c>
    </row>
    <row r="674" customFormat="false" ht="15" hidden="false" customHeight="false" outlineLevel="0" collapsed="false">
      <c r="A674" s="22" t="s">
        <v>2035</v>
      </c>
      <c r="B674" s="5" t="s">
        <v>2036</v>
      </c>
      <c r="C674" s="34" t="n">
        <v>3.571</v>
      </c>
      <c r="D674" s="5" t="s">
        <v>299</v>
      </c>
      <c r="E674" s="5" t="s">
        <v>160</v>
      </c>
      <c r="F674" s="24" t="s">
        <v>2037</v>
      </c>
      <c r="G674" s="5" t="s">
        <v>689</v>
      </c>
      <c r="H674" s="25" t="n">
        <v>31</v>
      </c>
      <c r="I674" s="5" t="s">
        <v>107</v>
      </c>
      <c r="J674" s="24" t="s">
        <v>690</v>
      </c>
      <c r="K674" s="24" t="s">
        <v>109</v>
      </c>
      <c r="L674" s="26" t="s">
        <v>110</v>
      </c>
    </row>
    <row r="675" customFormat="false" ht="15" hidden="false" customHeight="false" outlineLevel="0" collapsed="false">
      <c r="A675" s="27" t="s">
        <v>2038</v>
      </c>
      <c r="B675" s="28" t="s">
        <v>517</v>
      </c>
      <c r="C675" s="33" t="n">
        <v>97</v>
      </c>
      <c r="D675" s="28" t="s">
        <v>299</v>
      </c>
      <c r="E675" s="28" t="s">
        <v>193</v>
      </c>
      <c r="F675" s="30" t="s">
        <v>2039</v>
      </c>
      <c r="G675" s="28" t="s">
        <v>689</v>
      </c>
      <c r="H675" s="31" t="n">
        <v>31</v>
      </c>
      <c r="I675" s="28" t="s">
        <v>107</v>
      </c>
      <c r="J675" s="30" t="s">
        <v>690</v>
      </c>
      <c r="K675" s="30" t="s">
        <v>109</v>
      </c>
      <c r="L675" s="32" t="s">
        <v>110</v>
      </c>
    </row>
  </sheetData>
  <autoFilter ref="A5:L67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2040</v>
      </c>
      <c r="B1" s="2"/>
      <c r="C1" s="2"/>
      <c r="D1" s="2"/>
      <c r="E1" s="2"/>
      <c r="F1" s="2"/>
      <c r="G1" s="2"/>
      <c r="H1" s="2"/>
      <c r="I1" s="2"/>
      <c r="J1" s="2"/>
    </row>
    <row r="2" customFormat="false" ht="15" hidden="false" customHeight="false" outlineLevel="0" collapsed="false">
      <c r="A2" s="3" t="s">
        <v>2041</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2042</v>
      </c>
      <c r="B4" s="21" t="s">
        <v>2043</v>
      </c>
      <c r="C4" s="21" t="s">
        <v>2044</v>
      </c>
      <c r="D4" s="21" t="s">
        <v>2045</v>
      </c>
      <c r="E4" s="21" t="s">
        <v>2046</v>
      </c>
      <c r="F4" s="21" t="s">
        <v>93</v>
      </c>
      <c r="G4" s="21" t="s">
        <v>2047</v>
      </c>
      <c r="H4" s="21" t="s">
        <v>2048</v>
      </c>
      <c r="I4" s="21" t="s">
        <v>55</v>
      </c>
      <c r="J4" s="21" t="s">
        <v>2049</v>
      </c>
    </row>
    <row r="5" customFormat="false" ht="30" hidden="false" customHeight="true" outlineLevel="0" collapsed="false">
      <c r="A5" s="22" t="s">
        <v>2050</v>
      </c>
      <c r="B5" s="38" t="s">
        <v>2051</v>
      </c>
      <c r="C5" s="39" t="n">
        <f aca="false">AVERAGE(Entrées!$C$92,Entrées!$C$93)/100</f>
        <v>0.055</v>
      </c>
      <c r="D5" s="39" t="n">
        <f aca="false">Entrées!$C$92/100</f>
        <v>0.05</v>
      </c>
      <c r="E5" s="39" t="n">
        <f aca="false">Entrées!$C$93/100</f>
        <v>0.06</v>
      </c>
      <c r="F5" s="5" t="s">
        <v>299</v>
      </c>
      <c r="G5" s="38" t="s">
        <v>2052</v>
      </c>
      <c r="H5" s="24" t="s">
        <v>2053</v>
      </c>
      <c r="I5" s="40" t="s">
        <v>2044</v>
      </c>
      <c r="J5" s="41" t="n">
        <f aca="false">IF(AND(I5="Bas",ISNUMBER(D5)),D5,IF(AND(I5="Haut",ISNUMBER(E5)),E5,C5))</f>
        <v>0.055</v>
      </c>
    </row>
    <row r="6" customFormat="false" ht="30" hidden="false" customHeight="true" outlineLevel="0" collapsed="false">
      <c r="A6" s="22" t="s">
        <v>2054</v>
      </c>
      <c r="B6" s="38" t="s">
        <v>2055</v>
      </c>
      <c r="C6" s="42" t="n">
        <f aca="false">C5</f>
        <v>0.055</v>
      </c>
      <c r="D6" s="43" t="n">
        <v>0.04</v>
      </c>
      <c r="E6" s="43" t="n">
        <v>0.07</v>
      </c>
      <c r="F6" s="5" t="s">
        <v>299</v>
      </c>
      <c r="G6" s="38" t="s">
        <v>2056</v>
      </c>
      <c r="H6" s="24" t="s">
        <v>2057</v>
      </c>
      <c r="I6" s="40" t="s">
        <v>2044</v>
      </c>
      <c r="J6" s="41" t="n">
        <f aca="false">IF(AND(I6="Bas",ISNUMBER(D6)),D6,IF(AND(I6="Haut",ISNUMBER(E6)),E6,C6))</f>
        <v>0.055</v>
      </c>
    </row>
    <row r="7" customFormat="false" ht="30" hidden="false" customHeight="true" outlineLevel="0" collapsed="false">
      <c r="A7" s="22" t="s">
        <v>2058</v>
      </c>
      <c r="B7" s="38" t="s">
        <v>2059</v>
      </c>
      <c r="C7" s="44" t="n">
        <f aca="false">Entrées!$C$56</f>
        <v>200</v>
      </c>
      <c r="D7" s="44" t="n">
        <f aca="false">Entrées!$C$56*0.9</f>
        <v>180</v>
      </c>
      <c r="E7" s="44" t="n">
        <f aca="false">Entrées!$C$56*1.1</f>
        <v>220</v>
      </c>
      <c r="F7" s="5" t="s">
        <v>249</v>
      </c>
      <c r="G7" s="38" t="s">
        <v>2060</v>
      </c>
      <c r="H7" s="24" t="s">
        <v>290</v>
      </c>
      <c r="I7" s="40" t="s">
        <v>2044</v>
      </c>
      <c r="J7" s="45" t="n">
        <f aca="false">IF(AND(I7="Bas",ISNUMBER(D7)),D7,IF(AND(I7="Haut",ISNUMBER(E7)),E7,C7))</f>
        <v>200</v>
      </c>
    </row>
    <row r="8" customFormat="false" ht="30" hidden="false" customHeight="true" outlineLevel="0" collapsed="false">
      <c r="A8" s="22" t="s">
        <v>2061</v>
      </c>
      <c r="B8" s="38" t="s">
        <v>2062</v>
      </c>
      <c r="C8" s="43" t="n">
        <v>0.25</v>
      </c>
      <c r="D8" s="43" t="n">
        <v>0</v>
      </c>
      <c r="E8" s="43" t="n">
        <v>0.5</v>
      </c>
      <c r="F8" s="5" t="s">
        <v>299</v>
      </c>
      <c r="G8" s="38" t="s">
        <v>2063</v>
      </c>
      <c r="H8" s="24" t="s">
        <v>282</v>
      </c>
      <c r="I8" s="40" t="s">
        <v>2044</v>
      </c>
      <c r="J8" s="41" t="n">
        <f aca="false">IF(AND(I8="Bas",ISNUMBER(D8)),D8,IF(AND(I8="Haut",ISNUMBER(E8)),E8,C8))</f>
        <v>0.25</v>
      </c>
    </row>
    <row r="9" customFormat="false" ht="30" hidden="false" customHeight="true" outlineLevel="0" collapsed="false">
      <c r="A9" s="22" t="s">
        <v>2064</v>
      </c>
      <c r="B9" s="38" t="s">
        <v>2065</v>
      </c>
      <c r="C9" s="44" t="n">
        <f aca="false">Entrées!$C$34-Entrées!$C$75</f>
        <v>1629</v>
      </c>
      <c r="D9" s="46" t="n">
        <f aca="false">C9*0.8</f>
        <v>1303.2</v>
      </c>
      <c r="E9" s="46" t="n">
        <f aca="false">C9*1.1</f>
        <v>1791.9</v>
      </c>
      <c r="F9" s="5" t="s">
        <v>103</v>
      </c>
      <c r="G9" s="38" t="s">
        <v>2066</v>
      </c>
      <c r="H9" s="24" t="s">
        <v>2067</v>
      </c>
      <c r="I9" s="40" t="s">
        <v>2044</v>
      </c>
      <c r="J9" s="45" t="n">
        <f aca="false">IF(AND(I9="Bas",ISNUMBER(D9)),D9,IF(AND(I9="Haut",ISNUMBER(E9)),E9,C9))</f>
        <v>1629</v>
      </c>
    </row>
    <row r="10" customFormat="false" ht="30" hidden="false" customHeight="true" outlineLevel="0" collapsed="false">
      <c r="A10" s="22" t="s">
        <v>2068</v>
      </c>
      <c r="B10" s="38" t="s">
        <v>2069</v>
      </c>
      <c r="C10" s="39" t="n">
        <f aca="false">AVERAGE(Entrées!$C$18/Entrées!$C$22,Entrées!$C$34/Entrées!$C$8)</f>
        <v>0.168696364464616</v>
      </c>
      <c r="D10" s="43" t="n">
        <v>0.14</v>
      </c>
      <c r="E10" s="43" t="n">
        <v>0.19</v>
      </c>
      <c r="F10" s="5" t="s">
        <v>299</v>
      </c>
      <c r="G10" s="38" t="s">
        <v>2070</v>
      </c>
      <c r="H10" s="24" t="s">
        <v>2071</v>
      </c>
      <c r="I10" s="40" t="s">
        <v>2044</v>
      </c>
      <c r="J10" s="41" t="n">
        <f aca="false">IF(AND(I10="Bas",ISNUMBER(D10)),D10,IF(AND(I10="Haut",ISNUMBER(E10)),E10,C10))</f>
        <v>0.168696364464616</v>
      </c>
    </row>
    <row r="11" customFormat="false" ht="30" hidden="false" customHeight="true" outlineLevel="0" collapsed="false">
      <c r="A11" s="22" t="s">
        <v>2072</v>
      </c>
      <c r="B11" s="38" t="s">
        <v>2073</v>
      </c>
      <c r="C11" s="39" t="n">
        <f aca="false">Entrées!$C$94/100</f>
        <v>0.08</v>
      </c>
      <c r="D11" s="43" t="n">
        <v>0.04</v>
      </c>
      <c r="E11" s="43" t="n">
        <v>0.12</v>
      </c>
      <c r="F11" s="5" t="s">
        <v>299</v>
      </c>
      <c r="G11" s="38" t="s">
        <v>2074</v>
      </c>
      <c r="H11" s="24" t="s">
        <v>402</v>
      </c>
      <c r="I11" s="40" t="s">
        <v>2044</v>
      </c>
      <c r="J11" s="41" t="n">
        <f aca="false">IF(AND(I11="Bas",ISNUMBER(D11)),D11,IF(AND(I11="Haut",ISNUMBER(E11)),E11,C11))</f>
        <v>0.08</v>
      </c>
    </row>
    <row r="12" customFormat="false" ht="30" hidden="false" customHeight="true" outlineLevel="0" collapsed="false">
      <c r="A12" s="22" t="s">
        <v>2075</v>
      </c>
      <c r="B12" s="38" t="s">
        <v>2076</v>
      </c>
      <c r="C12" s="43" t="n">
        <v>0.5</v>
      </c>
      <c r="D12" s="43" t="n">
        <v>0</v>
      </c>
      <c r="E12" s="43" t="n">
        <v>1</v>
      </c>
      <c r="F12" s="5" t="s">
        <v>299</v>
      </c>
      <c r="G12" s="38" t="s">
        <v>2077</v>
      </c>
      <c r="H12" s="24" t="s">
        <v>218</v>
      </c>
      <c r="I12" s="40" t="s">
        <v>2044</v>
      </c>
      <c r="J12" s="41" t="n">
        <f aca="false">IF(AND(I12="Bas",ISNUMBER(D12)),D12,IF(AND(I12="Haut",ISNUMBER(E12)),E12,C12))</f>
        <v>0.5</v>
      </c>
    </row>
    <row r="13" customFormat="false" ht="30" hidden="false" customHeight="true" outlineLevel="0" collapsed="false">
      <c r="A13" s="22" t="s">
        <v>2078</v>
      </c>
      <c r="B13" s="38" t="s">
        <v>2079</v>
      </c>
      <c r="C13" s="43" t="n">
        <v>0.5</v>
      </c>
      <c r="D13" s="43" t="n">
        <v>0</v>
      </c>
      <c r="E13" s="43" t="n">
        <v>1</v>
      </c>
      <c r="F13" s="5" t="s">
        <v>299</v>
      </c>
      <c r="G13" s="38" t="s">
        <v>2080</v>
      </c>
      <c r="H13" s="24" t="s">
        <v>197</v>
      </c>
      <c r="I13" s="40" t="s">
        <v>2044</v>
      </c>
      <c r="J13" s="41" t="n">
        <f aca="false">IF(AND(I13="Bas",ISNUMBER(D13)),D13,IF(AND(I13="Haut",ISNUMBER(E13)),E13,C13))</f>
        <v>0.5</v>
      </c>
    </row>
    <row r="14" customFormat="false" ht="30" hidden="false" customHeight="true" outlineLevel="0" collapsed="false">
      <c r="A14" s="22" t="s">
        <v>2081</v>
      </c>
      <c r="B14" s="38" t="s">
        <v>2082</v>
      </c>
      <c r="C14" s="47" t="n">
        <v>10</v>
      </c>
      <c r="D14" s="47" t="n">
        <v>8</v>
      </c>
      <c r="E14" s="47" t="n">
        <v>12</v>
      </c>
      <c r="F14" s="5" t="s">
        <v>133</v>
      </c>
      <c r="G14" s="38" t="s">
        <v>2083</v>
      </c>
      <c r="H14" s="24" t="s">
        <v>2057</v>
      </c>
      <c r="I14" s="40" t="s">
        <v>2044</v>
      </c>
      <c r="J14" s="48" t="n">
        <f aca="false">IF(AND(I14="Bas",ISNUMBER(D14)),D14,IF(AND(I14="Haut",ISNUMBER(E14)),E14,C14))</f>
        <v>10</v>
      </c>
    </row>
    <row r="15" customFormat="false" ht="30" hidden="false" customHeight="true" outlineLevel="0" collapsed="false">
      <c r="A15" s="22" t="s">
        <v>2084</v>
      </c>
      <c r="B15" s="38" t="s">
        <v>2085</v>
      </c>
      <c r="C15" s="49" t="n">
        <f aca="false">Entrées!$C$10</f>
        <v>0.5</v>
      </c>
      <c r="D15" s="50" t="n">
        <v>0</v>
      </c>
      <c r="E15" s="49" t="n">
        <f aca="false">Entrées!$C$26</f>
        <v>1</v>
      </c>
      <c r="F15" s="5" t="s">
        <v>130</v>
      </c>
      <c r="G15" s="38" t="s">
        <v>2086</v>
      </c>
      <c r="H15" s="24" t="s">
        <v>2087</v>
      </c>
      <c r="I15" s="40" t="s">
        <v>2044</v>
      </c>
      <c r="J15" s="51" t="n">
        <f aca="false">IF(AND(I15="Bas",ISNUMBER(D15)),D15,IF(AND(I15="Haut",ISNUMBER(E15)),E15,C15))</f>
        <v>0.5</v>
      </c>
    </row>
    <row r="16" customFormat="false" ht="30" hidden="false" customHeight="true" outlineLevel="0" collapsed="false">
      <c r="A16" s="22" t="s">
        <v>2088</v>
      </c>
      <c r="B16" s="38" t="s">
        <v>2089</v>
      </c>
      <c r="C16" s="39" t="n">
        <f aca="false">Entrées!$C$249/Entrées!$C$8</f>
        <v>0.731914893617021</v>
      </c>
      <c r="D16" s="42" t="n">
        <f aca="false">C16*0.95</f>
        <v>0.69531914893617</v>
      </c>
      <c r="E16" s="42" t="n">
        <f aca="false">C16*1.03</f>
        <v>0.753872340425532</v>
      </c>
      <c r="F16" s="5" t="s">
        <v>299</v>
      </c>
      <c r="G16" s="38" t="s">
        <v>2090</v>
      </c>
      <c r="H16" s="24" t="s">
        <v>2091</v>
      </c>
      <c r="I16" s="40" t="s">
        <v>2044</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2092</v>
      </c>
      <c r="B18" s="2"/>
      <c r="C18" s="2"/>
      <c r="D18" s="2"/>
      <c r="E18" s="2"/>
      <c r="F18" s="2"/>
      <c r="G18" s="2"/>
      <c r="H18" s="2"/>
      <c r="I18" s="2"/>
      <c r="J18" s="2"/>
    </row>
    <row r="19" customFormat="false" ht="30" hidden="false" customHeight="true" outlineLevel="0" collapsed="false">
      <c r="A19" s="22" t="s">
        <v>2093</v>
      </c>
      <c r="B19" s="38" t="s">
        <v>2094</v>
      </c>
      <c r="C19" s="52" t="n">
        <f aca="false">Entrées!$C$45/Entrées!$C$46</f>
        <v>1.17584579071597</v>
      </c>
      <c r="D19" s="53" t="s">
        <v>2057</v>
      </c>
      <c r="E19" s="53" t="s">
        <v>2057</v>
      </c>
      <c r="F19" s="5" t="s">
        <v>2095</v>
      </c>
      <c r="G19" s="38" t="s">
        <v>2096</v>
      </c>
      <c r="H19" s="24" t="s">
        <v>2097</v>
      </c>
      <c r="I19" s="40" t="s">
        <v>2044</v>
      </c>
      <c r="J19" s="54" t="n">
        <f aca="false">IF(AND(I19="Bas",ISNUMBER(D19)),D19,IF(AND(I19="Haut",ISNUMBER(E19)),E19,C19))</f>
        <v>1.17584579071597</v>
      </c>
    </row>
    <row r="20" customFormat="false" ht="30" hidden="false" customHeight="true" outlineLevel="0" collapsed="false">
      <c r="A20" s="22" t="s">
        <v>2098</v>
      </c>
      <c r="B20" s="38" t="s">
        <v>2099</v>
      </c>
      <c r="C20" s="44" t="n">
        <f aca="false">-Entrées!$C$77-Entrées!$C$79</f>
        <v>295</v>
      </c>
      <c r="D20" s="53" t="s">
        <v>2057</v>
      </c>
      <c r="E20" s="53" t="s">
        <v>2057</v>
      </c>
      <c r="F20" s="5" t="s">
        <v>103</v>
      </c>
      <c r="G20" s="38" t="s">
        <v>2100</v>
      </c>
      <c r="H20" s="24" t="s">
        <v>2101</v>
      </c>
      <c r="I20" s="40" t="s">
        <v>2044</v>
      </c>
      <c r="J20" s="45" t="n">
        <f aca="false">IF(AND(I20="Bas",ISNUMBER(D20)),D20,IF(AND(I20="Haut",ISNUMBER(E20)),E20,C20))</f>
        <v>295</v>
      </c>
    </row>
    <row r="21" customFormat="false" ht="30" hidden="false" customHeight="true" outlineLevel="0" collapsed="false">
      <c r="A21" s="22" t="s">
        <v>2102</v>
      </c>
      <c r="B21" s="38" t="s">
        <v>2103</v>
      </c>
      <c r="C21" s="55" t="n">
        <f aca="false">Entrées!$C$53</f>
        <v>9.8</v>
      </c>
      <c r="D21" s="55" t="n">
        <f aca="false">Entrées!$C$450</f>
        <v>7.4</v>
      </c>
      <c r="E21" s="55" t="n">
        <f aca="false">Entrées!$C$478</f>
        <v>11</v>
      </c>
      <c r="F21" s="5" t="s">
        <v>133</v>
      </c>
      <c r="G21" s="38" t="s">
        <v>2104</v>
      </c>
      <c r="H21" s="24" t="s">
        <v>278</v>
      </c>
      <c r="I21" s="40" t="s">
        <v>2044</v>
      </c>
      <c r="J21" s="48" t="n">
        <f aca="false">IF(AND(I21="Bas",ISNUMBER(D21)),D21,IF(AND(I21="Haut",ISNUMBER(E21)),E21,C21))</f>
        <v>9.8</v>
      </c>
    </row>
    <row r="22" customFormat="false" ht="30" hidden="false" customHeight="true" outlineLevel="0" collapsed="false">
      <c r="A22" s="22" t="s">
        <v>2105</v>
      </c>
      <c r="B22" s="38" t="s">
        <v>2106</v>
      </c>
      <c r="C22" s="50" t="n">
        <v>0</v>
      </c>
      <c r="D22" s="53" t="s">
        <v>2057</v>
      </c>
      <c r="E22" s="53" t="s">
        <v>2057</v>
      </c>
      <c r="F22" s="5" t="s">
        <v>130</v>
      </c>
      <c r="G22" s="38" t="s">
        <v>2107</v>
      </c>
      <c r="H22" s="24" t="s">
        <v>2057</v>
      </c>
      <c r="I22" s="40" t="s">
        <v>2044</v>
      </c>
      <c r="J22" s="51" t="n">
        <f aca="false">IF(AND(I22="Bas",ISNUMBER(D22)),D22,IF(AND(I22="Haut",ISNUMBER(E22)),E22,C22))</f>
        <v>0</v>
      </c>
    </row>
    <row r="23" customFormat="false" ht="30" hidden="false" customHeight="true" outlineLevel="0" collapsed="false">
      <c r="A23" s="22" t="s">
        <v>2108</v>
      </c>
      <c r="B23" s="38" t="s">
        <v>2109</v>
      </c>
      <c r="C23" s="56" t="n">
        <v>0</v>
      </c>
      <c r="D23" s="53" t="s">
        <v>2057</v>
      </c>
      <c r="E23" s="53" t="s">
        <v>2057</v>
      </c>
      <c r="F23" s="5" t="s">
        <v>103</v>
      </c>
      <c r="G23" s="38" t="s">
        <v>2110</v>
      </c>
      <c r="H23" s="24" t="s">
        <v>2057</v>
      </c>
      <c r="I23" s="40" t="s">
        <v>2044</v>
      </c>
      <c r="J23" s="45" t="n">
        <f aca="false">IF(AND(I23="Bas",ISNUMBER(D23)),D23,IF(AND(I23="Haut",ISNUMBER(E23)),E23,C23))</f>
        <v>0</v>
      </c>
    </row>
    <row r="24" customFormat="false" ht="30" hidden="false" customHeight="true" outlineLevel="0" collapsed="false">
      <c r="A24" s="22" t="s">
        <v>2111</v>
      </c>
      <c r="B24" s="38" t="s">
        <v>2112</v>
      </c>
      <c r="C24" s="57" t="n">
        <v>7</v>
      </c>
      <c r="D24" s="53" t="s">
        <v>2057</v>
      </c>
      <c r="E24" s="53" t="s">
        <v>2057</v>
      </c>
      <c r="F24" s="5" t="s">
        <v>2113</v>
      </c>
      <c r="G24" s="38" t="s">
        <v>2114</v>
      </c>
      <c r="H24" s="24" t="s">
        <v>247</v>
      </c>
      <c r="I24" s="40" t="s">
        <v>2044</v>
      </c>
      <c r="J24" s="58" t="n">
        <f aca="false">IF(AND(I24="Bas",ISNUMBER(D24)),D24,IF(AND(I24="Haut",ISNUMBER(E24)),E24,C24))</f>
        <v>7</v>
      </c>
    </row>
    <row r="25" customFormat="false" ht="30" hidden="false" customHeight="true" outlineLevel="0" collapsed="false">
      <c r="A25" s="22" t="s">
        <v>2115</v>
      </c>
      <c r="B25" s="38" t="s">
        <v>2116</v>
      </c>
      <c r="C25" s="59" t="n">
        <f aca="false">Entrées!$C$55/4</f>
        <v>22.5</v>
      </c>
      <c r="D25" s="53" t="s">
        <v>2057</v>
      </c>
      <c r="E25" s="53" t="s">
        <v>2057</v>
      </c>
      <c r="F25" s="5" t="s">
        <v>249</v>
      </c>
      <c r="G25" s="38" t="s">
        <v>2117</v>
      </c>
      <c r="H25" s="24" t="s">
        <v>286</v>
      </c>
      <c r="I25" s="40" t="s">
        <v>2044</v>
      </c>
      <c r="J25" s="60" t="n">
        <f aca="false">IF(AND(I25="Bas",ISNUMBER(D25)),D25,IF(AND(I25="Haut",ISNUMBER(E25)),E25,C25))</f>
        <v>22.5</v>
      </c>
    </row>
    <row r="26" customFormat="false" ht="30" hidden="false" customHeight="true" outlineLevel="0" collapsed="false">
      <c r="A26" s="22" t="s">
        <v>2118</v>
      </c>
      <c r="B26" s="38" t="s">
        <v>2119</v>
      </c>
      <c r="C26" s="55" t="n">
        <f aca="false">Entrées!$C$61</f>
        <v>3</v>
      </c>
      <c r="D26" s="53" t="s">
        <v>2057</v>
      </c>
      <c r="E26" s="53" t="s">
        <v>2057</v>
      </c>
      <c r="F26" s="5" t="s">
        <v>133</v>
      </c>
      <c r="G26" s="38" t="s">
        <v>2120</v>
      </c>
      <c r="H26" s="24" t="s">
        <v>2121</v>
      </c>
      <c r="I26" s="40" t="s">
        <v>2044</v>
      </c>
      <c r="J26" s="48" t="n">
        <f aca="false">IF(AND(I26="Bas",ISNUMBER(D26)),D26,IF(AND(I26="Haut",ISNUMBER(E26)),E26,C26))</f>
        <v>3</v>
      </c>
    </row>
    <row r="27" customFormat="false" ht="30" hidden="false" customHeight="true" outlineLevel="0" collapsed="false">
      <c r="A27" s="22" t="s">
        <v>2122</v>
      </c>
      <c r="B27" s="38" t="s">
        <v>2123</v>
      </c>
      <c r="C27" s="43" t="n">
        <v>0.5</v>
      </c>
      <c r="D27" s="53" t="s">
        <v>2057</v>
      </c>
      <c r="E27" s="53" t="s">
        <v>2057</v>
      </c>
      <c r="F27" s="5" t="s">
        <v>299</v>
      </c>
      <c r="G27" s="38" t="s">
        <v>2124</v>
      </c>
      <c r="H27" s="24" t="s">
        <v>145</v>
      </c>
      <c r="I27" s="40" t="s">
        <v>2044</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2125</v>
      </c>
      <c r="B29" s="2"/>
      <c r="C29" s="2"/>
      <c r="D29" s="2"/>
      <c r="E29" s="2"/>
      <c r="F29" s="2"/>
      <c r="G29" s="2"/>
      <c r="H29" s="2"/>
      <c r="I29" s="3" t="s">
        <v>2126</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2127</v>
      </c>
      <c r="B1" s="2"/>
      <c r="C1" s="2"/>
      <c r="D1" s="2"/>
      <c r="E1" s="2"/>
      <c r="F1" s="2"/>
      <c r="G1" s="2"/>
      <c r="H1" s="2"/>
    </row>
    <row r="2" customFormat="false" ht="15" hidden="false" customHeight="false" outlineLevel="0" collapsed="false">
      <c r="A2" s="3" t="s">
        <v>2128</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2129</v>
      </c>
      <c r="F4" s="2"/>
      <c r="G4" s="2"/>
      <c r="H4" s="2"/>
    </row>
    <row r="5" customFormat="false" ht="15" hidden="false" customHeight="false" outlineLevel="0" collapsed="false">
      <c r="A5" s="22" t="s">
        <v>2130</v>
      </c>
      <c r="B5" s="22" t="s">
        <v>2131</v>
      </c>
      <c r="C5" s="2"/>
      <c r="D5" s="2"/>
      <c r="E5" s="2"/>
      <c r="F5" s="2"/>
      <c r="G5" s="2"/>
      <c r="H5" s="2"/>
    </row>
    <row r="6" customFormat="false" ht="15" hidden="false" customHeight="false" outlineLevel="0" collapsed="false">
      <c r="A6" s="2"/>
      <c r="B6" s="5" t="s">
        <v>2132</v>
      </c>
      <c r="C6" s="61" t="n">
        <f aca="false">Entrées!$C$28</f>
        <v>17819</v>
      </c>
      <c r="D6" s="24" t="s">
        <v>103</v>
      </c>
      <c r="E6" s="24" t="s">
        <v>192</v>
      </c>
      <c r="F6" s="2"/>
      <c r="G6" s="2"/>
      <c r="H6" s="2"/>
    </row>
    <row r="7" customFormat="false" ht="15" hidden="false" customHeight="false" outlineLevel="0" collapsed="false">
      <c r="A7" s="2"/>
      <c r="B7" s="5" t="s">
        <v>2133</v>
      </c>
      <c r="C7" s="61" t="n">
        <f aca="false">Entrées!$C$22</f>
        <v>6788</v>
      </c>
      <c r="D7" s="24" t="s">
        <v>103</v>
      </c>
      <c r="E7" s="24" t="s">
        <v>177</v>
      </c>
      <c r="F7" s="2"/>
      <c r="G7" s="2"/>
      <c r="H7" s="2"/>
    </row>
    <row r="8" customFormat="false" ht="15" hidden="false" customHeight="false" outlineLevel="0" collapsed="false">
      <c r="A8" s="2"/>
      <c r="B8" s="22" t="s">
        <v>2134</v>
      </c>
      <c r="C8" s="62" t="n">
        <f aca="false">C6/C7</f>
        <v>2.62507365939894</v>
      </c>
      <c r="D8" s="24" t="s">
        <v>133</v>
      </c>
      <c r="E8" s="24" t="s">
        <v>2135</v>
      </c>
      <c r="F8" s="2"/>
      <c r="G8" s="2"/>
      <c r="H8" s="2"/>
    </row>
    <row r="9" customFormat="false" ht="15" hidden="false" customHeight="false" outlineLevel="0" collapsed="false">
      <c r="A9" s="2"/>
      <c r="B9" s="5" t="s">
        <v>2136</v>
      </c>
      <c r="C9" s="63" t="n">
        <f aca="false">Entrées!$C$25</f>
        <v>2.63</v>
      </c>
      <c r="D9" s="24" t="s">
        <v>133</v>
      </c>
      <c r="E9" s="24" t="s">
        <v>184</v>
      </c>
      <c r="F9" s="2"/>
      <c r="G9" s="2"/>
      <c r="H9" s="2"/>
    </row>
    <row r="10" customFormat="false" ht="15" hidden="false" customHeight="false" outlineLevel="0" collapsed="false">
      <c r="A10" s="2"/>
      <c r="B10" s="5" t="s">
        <v>2137</v>
      </c>
      <c r="C10" s="61" t="n">
        <f aca="false">Entrées!$C$13</f>
        <v>19657</v>
      </c>
      <c r="D10" s="24" t="s">
        <v>103</v>
      </c>
      <c r="E10" s="24" t="s">
        <v>138</v>
      </c>
      <c r="F10" s="2"/>
      <c r="G10" s="2"/>
      <c r="H10" s="2"/>
    </row>
    <row r="11" customFormat="false" ht="15" hidden="false" customHeight="false" outlineLevel="0" collapsed="false">
      <c r="A11" s="2"/>
      <c r="B11" s="5" t="s">
        <v>2138</v>
      </c>
      <c r="C11" s="61" t="n">
        <f aca="false">Entrées!$C$8</f>
        <v>7050</v>
      </c>
      <c r="D11" s="24" t="s">
        <v>103</v>
      </c>
      <c r="E11" s="24" t="s">
        <v>119</v>
      </c>
      <c r="F11" s="2"/>
      <c r="G11" s="2"/>
      <c r="H11" s="2"/>
    </row>
    <row r="12" customFormat="false" ht="15" hidden="false" customHeight="false" outlineLevel="0" collapsed="false">
      <c r="A12" s="2"/>
      <c r="B12" s="22" t="s">
        <v>2139</v>
      </c>
      <c r="C12" s="62" t="n">
        <f aca="false">C10/C11</f>
        <v>2.78822695035461</v>
      </c>
      <c r="D12" s="24" t="s">
        <v>133</v>
      </c>
      <c r="E12" s="24" t="s">
        <v>2135</v>
      </c>
      <c r="F12" s="2"/>
      <c r="G12" s="2"/>
      <c r="H12" s="2"/>
    </row>
    <row r="13" customFormat="false" ht="15" hidden="false" customHeight="false" outlineLevel="0" collapsed="false">
      <c r="A13" s="2"/>
      <c r="B13" s="5" t="s">
        <v>2140</v>
      </c>
      <c r="C13" s="63" t="n">
        <f aca="false">Entrées!$C$21</f>
        <v>2.79</v>
      </c>
      <c r="D13" s="24" t="s">
        <v>133</v>
      </c>
      <c r="E13" s="24" t="s">
        <v>174</v>
      </c>
      <c r="F13" s="2"/>
      <c r="G13" s="2"/>
      <c r="H13" s="2"/>
    </row>
    <row r="14" customFormat="false" ht="15" hidden="false" customHeight="false" outlineLevel="0" collapsed="false">
      <c r="A14" s="2"/>
      <c r="B14" s="22" t="s">
        <v>2141</v>
      </c>
      <c r="C14" s="45" t="n">
        <f aca="false">Hypothèses!$J$26*C11-C10</f>
        <v>1493</v>
      </c>
      <c r="D14" s="24" t="s">
        <v>103</v>
      </c>
      <c r="E14" s="24" t="s">
        <v>2142</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2143</v>
      </c>
      <c r="B16" s="22" t="s">
        <v>2144</v>
      </c>
      <c r="C16" s="2"/>
      <c r="D16" s="2"/>
      <c r="E16" s="2"/>
      <c r="F16" s="2"/>
      <c r="G16" s="2"/>
      <c r="H16" s="2"/>
    </row>
    <row r="17" customFormat="false" ht="15" hidden="false" customHeight="false" outlineLevel="0" collapsed="false">
      <c r="A17" s="2"/>
      <c r="B17" s="5" t="s">
        <v>2145</v>
      </c>
      <c r="C17" s="61" t="n">
        <f aca="false">Entrées!$C$16</f>
        <v>24548</v>
      </c>
      <c r="D17" s="24" t="s">
        <v>103</v>
      </c>
      <c r="E17" s="24" t="s">
        <v>151</v>
      </c>
      <c r="F17" s="2"/>
      <c r="G17" s="2"/>
      <c r="H17" s="2"/>
    </row>
    <row r="18" customFormat="false" ht="15" hidden="false" customHeight="false" outlineLevel="0" collapsed="false">
      <c r="A18" s="2"/>
      <c r="B18" s="5" t="s">
        <v>2146</v>
      </c>
      <c r="C18" s="64" t="n">
        <f aca="false">Entrées!$C$8-Entrées!$C$24+Entrées!$C$6</f>
        <v>7235</v>
      </c>
      <c r="D18" s="24" t="s">
        <v>103</v>
      </c>
      <c r="E18" s="24" t="s">
        <v>2147</v>
      </c>
      <c r="F18" s="2"/>
      <c r="G18" s="2"/>
      <c r="H18" s="2"/>
    </row>
    <row r="19" customFormat="false" ht="15" hidden="false" customHeight="false" outlineLevel="0" collapsed="false">
      <c r="A19" s="2"/>
      <c r="B19" s="22" t="s">
        <v>2148</v>
      </c>
      <c r="C19" s="62" t="n">
        <f aca="false">C17/C18</f>
        <v>3.39295093296475</v>
      </c>
      <c r="D19" s="24" t="s">
        <v>133</v>
      </c>
      <c r="E19" s="24" t="s">
        <v>2149</v>
      </c>
      <c r="F19" s="2"/>
      <c r="G19" s="2"/>
      <c r="H19" s="2"/>
    </row>
    <row r="20" customFormat="false" ht="15" hidden="false" customHeight="false" outlineLevel="0" collapsed="false">
      <c r="A20" s="2"/>
      <c r="B20" s="5" t="s">
        <v>2150</v>
      </c>
      <c r="C20" s="64" t="n">
        <f aca="false">Hypothèses!$J$7*11/12/Hypothèses!$J$19</f>
        <v>155.916136946582</v>
      </c>
      <c r="D20" s="24" t="s">
        <v>103</v>
      </c>
      <c r="E20" s="24" t="s">
        <v>2151</v>
      </c>
      <c r="F20" s="2"/>
      <c r="G20" s="2"/>
      <c r="H20" s="2"/>
    </row>
    <row r="21" customFormat="false" ht="15" hidden="false" customHeight="false" outlineLevel="0" collapsed="false">
      <c r="A21" s="2"/>
      <c r="B21" s="22" t="s">
        <v>2152</v>
      </c>
      <c r="C21" s="62" t="n">
        <f aca="false">C17/(C18+C20)</f>
        <v>3.32137444738232</v>
      </c>
      <c r="D21" s="24" t="s">
        <v>133</v>
      </c>
      <c r="E21" s="24"/>
      <c r="F21" s="2"/>
      <c r="G21" s="2"/>
      <c r="H21" s="2"/>
    </row>
    <row r="22" customFormat="false" ht="15" hidden="false" customHeight="false" outlineLevel="0" collapsed="false">
      <c r="A22" s="2"/>
      <c r="B22" s="5" t="s">
        <v>2153</v>
      </c>
      <c r="C22" s="64" t="n">
        <f aca="false">Entrées!$C$76-Entrées!$C$13</f>
        <v>1107</v>
      </c>
      <c r="D22" s="24" t="s">
        <v>103</v>
      </c>
      <c r="E22" s="24" t="s">
        <v>2154</v>
      </c>
      <c r="F22" s="2"/>
      <c r="G22" s="2"/>
      <c r="H22" s="2"/>
    </row>
    <row r="23" customFormat="false" ht="15" hidden="false" customHeight="false" outlineLevel="0" collapsed="false">
      <c r="A23" s="2"/>
      <c r="B23" s="22" t="s">
        <v>2155</v>
      </c>
      <c r="C23" s="62" t="n">
        <f aca="false">(C17-C22)/(C18+C20)</f>
        <v>3.17159599238589</v>
      </c>
      <c r="D23" s="24" t="s">
        <v>133</v>
      </c>
      <c r="E23" s="24" t="s">
        <v>2156</v>
      </c>
      <c r="F23" s="2"/>
      <c r="G23" s="2"/>
      <c r="H23" s="2"/>
    </row>
    <row r="24" customFormat="false" ht="15" hidden="false" customHeight="false" outlineLevel="0" collapsed="false">
      <c r="A24" s="2"/>
      <c r="B24" s="5" t="s">
        <v>2157</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2158</v>
      </c>
      <c r="B26" s="22" t="s">
        <v>2159</v>
      </c>
      <c r="C26" s="2"/>
      <c r="D26" s="2"/>
      <c r="E26" s="2"/>
      <c r="F26" s="2"/>
      <c r="G26" s="2"/>
      <c r="H26" s="2"/>
    </row>
    <row r="27" customFormat="false" ht="15" hidden="false" customHeight="false" outlineLevel="0" collapsed="false">
      <c r="A27" s="2"/>
      <c r="B27" s="5" t="s">
        <v>2160</v>
      </c>
      <c r="C27" s="65" t="n">
        <f aca="false">Entrées!$C$132</f>
        <v>6.5</v>
      </c>
      <c r="D27" s="24" t="s">
        <v>512</v>
      </c>
      <c r="E27" s="24" t="s">
        <v>510</v>
      </c>
      <c r="F27" s="2"/>
      <c r="G27" s="2"/>
      <c r="H27" s="2"/>
    </row>
    <row r="28" customFormat="false" ht="15" hidden="false" customHeight="false" outlineLevel="0" collapsed="false">
      <c r="A28" s="2"/>
      <c r="B28" s="5" t="s">
        <v>2160</v>
      </c>
      <c r="C28" s="65" t="n">
        <f aca="false">Entrées!$C$133</f>
        <v>7.1</v>
      </c>
      <c r="D28" s="24" t="s">
        <v>512</v>
      </c>
      <c r="E28" s="24" t="s">
        <v>514</v>
      </c>
      <c r="F28" s="2"/>
      <c r="G28" s="2"/>
      <c r="H28" s="2"/>
    </row>
    <row r="29" customFormat="false" ht="15" hidden="false" customHeight="false" outlineLevel="0" collapsed="false">
      <c r="A29" s="2"/>
      <c r="B29" s="5" t="s">
        <v>2161</v>
      </c>
      <c r="C29" s="66" t="n">
        <f aca="false">Entrées!$C$134/100</f>
        <v>0.85</v>
      </c>
      <c r="D29" s="24" t="s">
        <v>299</v>
      </c>
      <c r="E29" s="24" t="s">
        <v>516</v>
      </c>
      <c r="F29" s="2"/>
      <c r="G29" s="2"/>
      <c r="H29" s="2"/>
    </row>
    <row r="30" customFormat="false" ht="15" hidden="false" customHeight="false" outlineLevel="0" collapsed="false">
      <c r="A30" s="2"/>
      <c r="B30" s="22" t="s">
        <v>2162</v>
      </c>
      <c r="C30" s="45" t="n">
        <f aca="false">Hypothèses!$J$26*Entrées!$C$17*1000</f>
        <v>24000</v>
      </c>
      <c r="D30" s="24" t="s">
        <v>103</v>
      </c>
      <c r="E30" s="24" t="s">
        <v>2163</v>
      </c>
      <c r="F30" s="2"/>
      <c r="G30" s="2"/>
      <c r="H30" s="2"/>
    </row>
    <row r="31" customFormat="false" ht="15" hidden="false" customHeight="false" outlineLevel="0" collapsed="false">
      <c r="A31" s="2"/>
      <c r="B31" s="22" t="s">
        <v>2164</v>
      </c>
      <c r="C31" s="45" t="n">
        <f aca="false">Hypothèses!$J$26*Trajectoire!$D$41</f>
        <v>23944.29152183</v>
      </c>
      <c r="D31" s="24" t="s">
        <v>103</v>
      </c>
      <c r="E31" s="24" t="s">
        <v>2165</v>
      </c>
      <c r="F31" s="2"/>
      <c r="G31" s="2"/>
      <c r="H31" s="2"/>
    </row>
    <row r="32" customFormat="false" ht="15" hidden="false" customHeight="false" outlineLevel="0" collapsed="false">
      <c r="A32" s="2"/>
      <c r="B32" s="5" t="s">
        <v>2166</v>
      </c>
      <c r="C32" s="64" t="n">
        <f aca="false">Hypothèses!$J$26*500</f>
        <v>1500</v>
      </c>
      <c r="D32" s="24" t="s">
        <v>103</v>
      </c>
      <c r="E32" s="24" t="s">
        <v>2167</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2168</v>
      </c>
      <c r="B34" s="22" t="s">
        <v>2169</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2170</v>
      </c>
      <c r="C37" s="66" t="n">
        <f aca="false">Entrées!$C$136/100</f>
        <v>0.18</v>
      </c>
      <c r="D37" s="24" t="s">
        <v>299</v>
      </c>
      <c r="E37" s="24" t="s">
        <v>525</v>
      </c>
      <c r="F37" s="2"/>
      <c r="G37" s="2"/>
      <c r="H37" s="2"/>
    </row>
    <row r="38" customFormat="false" ht="15" hidden="false" customHeight="false" outlineLevel="0" collapsed="false">
      <c r="A38" s="2"/>
      <c r="B38" s="5" t="s">
        <v>2171</v>
      </c>
      <c r="C38" s="66" t="n">
        <f aca="false">Entrées!$C$137/100</f>
        <v>0.19</v>
      </c>
      <c r="D38" s="24" t="s">
        <v>299</v>
      </c>
      <c r="E38" s="24" t="s">
        <v>529</v>
      </c>
      <c r="F38" s="2"/>
      <c r="G38" s="2"/>
      <c r="H38" s="2"/>
    </row>
    <row r="39" customFormat="false" ht="15" hidden="false" customHeight="false" outlineLevel="0" collapsed="false">
      <c r="A39" s="2"/>
      <c r="B39" s="5" t="s">
        <v>2172</v>
      </c>
      <c r="C39" s="67" t="str">
        <f aca="false">Entrées!$C$140</f>
        <v>high teens</v>
      </c>
      <c r="D39" s="24"/>
      <c r="E39" s="24" t="s">
        <v>2173</v>
      </c>
      <c r="F39" s="2"/>
      <c r="G39" s="2"/>
      <c r="H39" s="2"/>
    </row>
    <row r="40" customFormat="false" ht="15" hidden="false" customHeight="false" outlineLevel="0" collapsed="false">
      <c r="A40" s="2"/>
      <c r="B40" s="22" t="s">
        <v>2174</v>
      </c>
      <c r="C40" s="41" t="n">
        <f aca="false">Entrées!$C$151/100</f>
        <v>0.18</v>
      </c>
      <c r="D40" s="24" t="s">
        <v>299</v>
      </c>
      <c r="E40" s="24" t="s">
        <v>569</v>
      </c>
      <c r="F40" s="2"/>
      <c r="G40" s="2"/>
      <c r="H40" s="2"/>
    </row>
    <row r="41" customFormat="false" ht="15" hidden="false" customHeight="false" outlineLevel="0" collapsed="false">
      <c r="A41" s="2"/>
      <c r="B41" s="5" t="s">
        <v>2175</v>
      </c>
      <c r="C41" s="66" t="n">
        <f aca="false">Entrées!$C$152/100</f>
        <v>0.2</v>
      </c>
      <c r="D41" s="24" t="s">
        <v>299</v>
      </c>
      <c r="E41" s="24" t="s">
        <v>2176</v>
      </c>
      <c r="F41" s="2"/>
      <c r="G41" s="2"/>
      <c r="H41" s="2"/>
    </row>
    <row r="42" customFormat="false" ht="15" hidden="false" customHeight="false" outlineLevel="0" collapsed="false">
      <c r="A42" s="2"/>
      <c r="B42" s="5" t="s">
        <v>2177</v>
      </c>
      <c r="C42" s="64" t="n">
        <f aca="false">Entrées!$C$138*1000</f>
        <v>25400</v>
      </c>
      <c r="D42" s="24" t="s">
        <v>103</v>
      </c>
      <c r="E42" s="24" t="s">
        <v>532</v>
      </c>
      <c r="F42" s="2"/>
      <c r="G42" s="2"/>
      <c r="H42" s="2"/>
    </row>
    <row r="43" customFormat="false" ht="15" hidden="false" customHeight="false" outlineLevel="0" collapsed="false">
      <c r="A43" s="2"/>
      <c r="B43" s="5" t="s">
        <v>2178</v>
      </c>
      <c r="C43" s="64" t="n">
        <f aca="false">Entrées!$C$139*1000</f>
        <v>29000</v>
      </c>
      <c r="D43" s="24" t="s">
        <v>103</v>
      </c>
      <c r="E43" s="24" t="s">
        <v>535</v>
      </c>
      <c r="F43" s="2"/>
      <c r="G43" s="2"/>
      <c r="H43" s="2"/>
    </row>
    <row r="44" customFormat="false" ht="15" hidden="false" customHeight="false" outlineLevel="0" collapsed="false">
      <c r="A44" s="2"/>
      <c r="B44" s="22" t="s">
        <v>2179</v>
      </c>
      <c r="C44" s="45" t="n">
        <f aca="false">Levier!$C$36*Levier!$C$42</f>
        <v>5156.2</v>
      </c>
      <c r="D44" s="24" t="s">
        <v>103</v>
      </c>
      <c r="E44" s="24" t="s">
        <v>2180</v>
      </c>
      <c r="F44" s="2"/>
      <c r="G44" s="2"/>
      <c r="H44" s="2"/>
    </row>
    <row r="45" customFormat="false" ht="15" hidden="false" customHeight="false" outlineLevel="0" collapsed="false">
      <c r="A45" s="2"/>
      <c r="B45" s="22" t="s">
        <v>2181</v>
      </c>
      <c r="C45" s="45" t="n">
        <f aca="false">Levier!$C$40*Levier!$C$43</f>
        <v>5220</v>
      </c>
      <c r="D45" s="24" t="s">
        <v>103</v>
      </c>
      <c r="E45" s="24" t="s">
        <v>2182</v>
      </c>
      <c r="F45" s="2"/>
      <c r="G45" s="2"/>
      <c r="H45" s="2"/>
    </row>
    <row r="46" customFormat="false" ht="15" hidden="false" customHeight="false" outlineLevel="0" collapsed="false">
      <c r="A46" s="2"/>
      <c r="B46" s="22" t="s">
        <v>2183</v>
      </c>
      <c r="C46" s="45" t="n">
        <f aca="false">Levier!$C$44-Levier!$C$45</f>
        <v>-63.7999999999993</v>
      </c>
      <c r="D46" s="24" t="s">
        <v>103</v>
      </c>
      <c r="E46" s="24" t="s">
        <v>2184</v>
      </c>
      <c r="F46" s="2"/>
      <c r="G46" s="2"/>
      <c r="H46" s="2"/>
    </row>
    <row r="47" customFormat="false" ht="15" hidden="false" customHeight="false" outlineLevel="0" collapsed="false">
      <c r="A47" s="2"/>
      <c r="B47" s="5" t="s">
        <v>2185</v>
      </c>
      <c r="C47" s="64" t="n">
        <f aca="false">Levier!$C$44/Levier!$C$40</f>
        <v>28645.5555555556</v>
      </c>
      <c r="D47" s="24" t="s">
        <v>103</v>
      </c>
      <c r="E47" s="24" t="s">
        <v>2186</v>
      </c>
      <c r="F47" s="2"/>
      <c r="G47" s="2"/>
      <c r="H47" s="2"/>
    </row>
    <row r="48" customFormat="false" ht="15" hidden="false" customHeight="false" outlineLevel="0" collapsed="false">
      <c r="A48" s="2"/>
      <c r="B48" s="5" t="s">
        <v>2187</v>
      </c>
      <c r="C48" s="64" t="n">
        <f aca="false">Levier!$C$42-Entrées!$C$13</f>
        <v>5743</v>
      </c>
      <c r="D48" s="24" t="s">
        <v>103</v>
      </c>
      <c r="E48" s="24" t="s">
        <v>2188</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2189</v>
      </c>
      <c r="B50" s="22" t="s">
        <v>2190</v>
      </c>
      <c r="C50" s="2"/>
      <c r="D50" s="2"/>
      <c r="E50" s="2"/>
      <c r="F50" s="2"/>
      <c r="G50" s="2"/>
      <c r="H50" s="2"/>
    </row>
    <row r="51" customFormat="false" ht="15" hidden="false" customHeight="false" outlineLevel="0" collapsed="false">
      <c r="A51" s="2"/>
      <c r="B51" s="5" t="s">
        <v>2191</v>
      </c>
      <c r="C51" s="61" t="n">
        <f aca="false">Entrées!$C$237</f>
        <v>29518</v>
      </c>
      <c r="D51" s="24" t="s">
        <v>103</v>
      </c>
      <c r="E51" s="24" t="s">
        <v>2192</v>
      </c>
      <c r="F51" s="2"/>
      <c r="G51" s="2"/>
      <c r="H51" s="2"/>
    </row>
    <row r="52" customFormat="false" ht="15" hidden="false" customHeight="false" outlineLevel="0" collapsed="false">
      <c r="A52" s="2"/>
      <c r="B52" s="5" t="s">
        <v>2193</v>
      </c>
      <c r="C52" s="61" t="n">
        <f aca="false">Entrées!$C$238</f>
        <v>647</v>
      </c>
      <c r="D52" s="24" t="s">
        <v>103</v>
      </c>
      <c r="E52" s="24" t="s">
        <v>818</v>
      </c>
      <c r="F52" s="2"/>
      <c r="G52" s="2"/>
      <c r="H52" s="2"/>
    </row>
    <row r="53" customFormat="false" ht="15" hidden="false" customHeight="false" outlineLevel="0" collapsed="false">
      <c r="A53" s="2"/>
      <c r="B53" s="5" t="s">
        <v>2194</v>
      </c>
      <c r="C53" s="61" t="n">
        <f aca="false">Entrées!$C$239</f>
        <v>2050</v>
      </c>
      <c r="D53" s="24" t="s">
        <v>103</v>
      </c>
      <c r="E53" s="24" t="s">
        <v>2195</v>
      </c>
      <c r="F53" s="2"/>
      <c r="G53" s="2"/>
      <c r="H53" s="2"/>
    </row>
    <row r="54" customFormat="false" ht="15" hidden="false" customHeight="false" outlineLevel="0" collapsed="false">
      <c r="A54" s="2"/>
      <c r="B54" s="5" t="s">
        <v>2196</v>
      </c>
      <c r="C54" s="61" t="n">
        <f aca="false">Entrées!$C$240</f>
        <v>1014</v>
      </c>
      <c r="D54" s="24" t="s">
        <v>103</v>
      </c>
      <c r="E54" s="24" t="s">
        <v>824</v>
      </c>
      <c r="F54" s="2"/>
      <c r="G54" s="2"/>
      <c r="H54" s="2"/>
    </row>
    <row r="55" customFormat="false" ht="15" hidden="false" customHeight="false" outlineLevel="0" collapsed="false">
      <c r="A55" s="2"/>
      <c r="B55" s="5" t="s">
        <v>2197</v>
      </c>
      <c r="C55" s="61" t="n">
        <f aca="false">Entrées!$C$241</f>
        <v>1650</v>
      </c>
      <c r="D55" s="24" t="s">
        <v>103</v>
      </c>
      <c r="E55" s="24" t="s">
        <v>827</v>
      </c>
      <c r="F55" s="2"/>
      <c r="G55" s="2"/>
      <c r="H55" s="2"/>
    </row>
    <row r="56" customFormat="false" ht="15" hidden="false" customHeight="false" outlineLevel="0" collapsed="false">
      <c r="A56" s="2"/>
      <c r="B56" s="22" t="s">
        <v>2198</v>
      </c>
      <c r="C56" s="45" t="n">
        <f aca="false">SUM(C51:C55)</f>
        <v>34879</v>
      </c>
      <c r="D56" s="24" t="s">
        <v>103</v>
      </c>
      <c r="E56" s="24" t="s">
        <v>2199</v>
      </c>
      <c r="F56" s="2"/>
      <c r="G56" s="2"/>
      <c r="H56" s="2"/>
    </row>
    <row r="57" customFormat="false" ht="15" hidden="false" customHeight="false" outlineLevel="0" collapsed="false">
      <c r="A57" s="2"/>
      <c r="B57" s="5" t="s">
        <v>2200</v>
      </c>
      <c r="C57" s="61" t="n">
        <f aca="false">Entrées!$C$242</f>
        <v>34879</v>
      </c>
      <c r="D57" s="24" t="s">
        <v>103</v>
      </c>
      <c r="E57" s="24" t="s">
        <v>830</v>
      </c>
      <c r="F57" s="2"/>
      <c r="G57" s="2"/>
      <c r="H57" s="2"/>
    </row>
    <row r="58" customFormat="false" ht="15" hidden="false" customHeight="false" outlineLevel="0" collapsed="false">
      <c r="A58" s="2"/>
      <c r="B58" s="5" t="s">
        <v>2201</v>
      </c>
      <c r="C58" s="61" t="n">
        <f aca="false">Entrées!$C$243</f>
        <v>9475</v>
      </c>
      <c r="D58" s="24" t="s">
        <v>103</v>
      </c>
      <c r="E58" s="24" t="s">
        <v>2202</v>
      </c>
      <c r="F58" s="2"/>
      <c r="G58" s="2"/>
      <c r="H58" s="2"/>
    </row>
    <row r="59" customFormat="false" ht="15" hidden="false" customHeight="false" outlineLevel="0" collapsed="false">
      <c r="A59" s="2"/>
      <c r="B59" s="22" t="s">
        <v>2203</v>
      </c>
      <c r="C59" s="45" t="n">
        <f aca="false">C57-C58</f>
        <v>25404</v>
      </c>
      <c r="D59" s="24" t="s">
        <v>103</v>
      </c>
      <c r="E59" s="24"/>
      <c r="F59" s="2"/>
      <c r="G59" s="2"/>
      <c r="H59" s="2"/>
    </row>
    <row r="60" customFormat="false" ht="15" hidden="false" customHeight="false" outlineLevel="0" collapsed="false">
      <c r="A60" s="2"/>
      <c r="B60" s="5" t="s">
        <v>2204</v>
      </c>
      <c r="C60" s="61" t="n">
        <f aca="false">Entrées!$C$244</f>
        <v>25404</v>
      </c>
      <c r="D60" s="24" t="s">
        <v>103</v>
      </c>
      <c r="E60" s="24" t="s">
        <v>836</v>
      </c>
      <c r="F60" s="2"/>
      <c r="G60" s="2"/>
      <c r="H60" s="2"/>
    </row>
    <row r="61" customFormat="false" ht="15" hidden="false" customHeight="false" outlineLevel="0" collapsed="false">
      <c r="A61" s="2"/>
      <c r="B61" s="5" t="s">
        <v>2205</v>
      </c>
      <c r="C61" s="64" t="n">
        <f aca="false">Entrées!$C$259-Entrées!$C$260-Entrées!$C$261+Entrées!$C$262</f>
        <v>19821</v>
      </c>
      <c r="D61" s="24" t="s">
        <v>103</v>
      </c>
      <c r="E61" s="24" t="s">
        <v>2206</v>
      </c>
      <c r="F61" s="2"/>
      <c r="G61" s="2"/>
      <c r="H61" s="2"/>
    </row>
    <row r="62" customFormat="false" ht="15" hidden="false" customHeight="false" outlineLevel="0" collapsed="false">
      <c r="A62" s="2"/>
      <c r="B62" s="5" t="s">
        <v>2207</v>
      </c>
      <c r="C62" s="66" t="n">
        <f aca="false">Levier!$C$53/(Levier!$C$60-Entrées!$C$13)</f>
        <v>0.356707847572647</v>
      </c>
      <c r="D62" s="24" t="s">
        <v>299</v>
      </c>
      <c r="E62" s="24" t="s">
        <v>2208</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2209</v>
      </c>
      <c r="B64" s="22" t="s">
        <v>2210</v>
      </c>
      <c r="C64" s="2"/>
      <c r="D64" s="2"/>
      <c r="E64" s="2"/>
      <c r="F64" s="2"/>
      <c r="G64" s="2"/>
      <c r="H64" s="2"/>
    </row>
    <row r="65" customFormat="false" ht="15" hidden="false" customHeight="false" outlineLevel="0" collapsed="false">
      <c r="A65" s="2"/>
      <c r="B65" s="5" t="s">
        <v>2211</v>
      </c>
      <c r="C65" s="61" t="n">
        <f aca="false">Entrées!$C$251</f>
        <v>4655</v>
      </c>
      <c r="D65" s="24" t="s">
        <v>103</v>
      </c>
      <c r="E65" s="24" t="s">
        <v>854</v>
      </c>
      <c r="F65" s="2"/>
      <c r="G65" s="2"/>
      <c r="H65" s="2"/>
    </row>
    <row r="66" customFormat="false" ht="15" hidden="false" customHeight="false" outlineLevel="0" collapsed="false">
      <c r="A66" s="2"/>
      <c r="B66" s="5" t="s">
        <v>2212</v>
      </c>
      <c r="C66" s="61" t="n">
        <f aca="false">Entrées!$C$250</f>
        <v>4948</v>
      </c>
      <c r="D66" s="24" t="s">
        <v>103</v>
      </c>
      <c r="E66" s="24" t="s">
        <v>852</v>
      </c>
      <c r="F66" s="2"/>
      <c r="G66" s="2"/>
      <c r="H66" s="2"/>
    </row>
    <row r="67" customFormat="false" ht="15" hidden="false" customHeight="false" outlineLevel="0" collapsed="false">
      <c r="A67" s="2"/>
      <c r="B67" s="22" t="s">
        <v>2213</v>
      </c>
      <c r="C67" s="68" t="n">
        <f aca="false">Entrées!$C$249</f>
        <v>5160</v>
      </c>
      <c r="D67" s="24" t="s">
        <v>103</v>
      </c>
      <c r="E67" s="24" t="s">
        <v>849</v>
      </c>
      <c r="F67" s="2"/>
      <c r="G67" s="2"/>
      <c r="H67" s="2"/>
    </row>
    <row r="68" customFormat="false" ht="15" hidden="false" customHeight="false" outlineLevel="0" collapsed="false">
      <c r="A68" s="2"/>
      <c r="B68" s="5" t="s">
        <v>2214</v>
      </c>
      <c r="C68" s="66" t="n">
        <f aca="false">C67/Entrées!$C$8</f>
        <v>0.731914893617021</v>
      </c>
      <c r="D68" s="24" t="s">
        <v>299</v>
      </c>
      <c r="E68" s="24" t="s">
        <v>2215</v>
      </c>
      <c r="F68" s="2"/>
      <c r="G68" s="2"/>
      <c r="H68" s="2"/>
    </row>
    <row r="69" customFormat="false" ht="15" hidden="false" customHeight="false" outlineLevel="0" collapsed="false">
      <c r="A69" s="2"/>
      <c r="B69" s="5" t="s">
        <v>2216</v>
      </c>
      <c r="C69" s="66" t="n">
        <f aca="false">C67/Levier!$C$60</f>
        <v>0.203117619272556</v>
      </c>
      <c r="D69" s="24" t="s">
        <v>299</v>
      </c>
      <c r="E69" s="24"/>
      <c r="F69" s="2"/>
      <c r="G69" s="2"/>
      <c r="H69" s="2"/>
    </row>
    <row r="70" customFormat="false" ht="15" hidden="false" customHeight="false" outlineLevel="0" collapsed="false">
      <c r="A70" s="2"/>
      <c r="B70" s="5" t="s">
        <v>2217</v>
      </c>
      <c r="C70" s="61" t="n">
        <f aca="false">Entrées!$C$252</f>
        <v>1341</v>
      </c>
      <c r="D70" s="24" t="s">
        <v>103</v>
      </c>
      <c r="E70" s="24" t="s">
        <v>856</v>
      </c>
      <c r="F70" s="2"/>
      <c r="G70" s="2"/>
      <c r="H70" s="2"/>
    </row>
    <row r="71" customFormat="false" ht="15" hidden="false" customHeight="false" outlineLevel="0" collapsed="false">
      <c r="A71" s="2"/>
      <c r="B71" s="5" t="s">
        <v>2218</v>
      </c>
      <c r="C71" s="61" t="n">
        <f aca="false">Entrées!$C$253</f>
        <v>3819</v>
      </c>
      <c r="D71" s="24" t="s">
        <v>103</v>
      </c>
      <c r="E71" s="24" t="s">
        <v>859</v>
      </c>
      <c r="F71" s="2"/>
      <c r="G71" s="2"/>
      <c r="H71" s="2"/>
    </row>
    <row r="72" customFormat="false" ht="15" hidden="false" customHeight="false" outlineLevel="0" collapsed="false">
      <c r="A72" s="2"/>
      <c r="B72" s="5" t="s">
        <v>2219</v>
      </c>
      <c r="C72" s="61" t="n">
        <f aca="false">Entrées!$C$256</f>
        <v>1162</v>
      </c>
      <c r="D72" s="24" t="s">
        <v>103</v>
      </c>
      <c r="E72" s="24" t="s">
        <v>868</v>
      </c>
      <c r="F72" s="2"/>
      <c r="G72" s="2"/>
      <c r="H72" s="2"/>
    </row>
    <row r="73" customFormat="false" ht="15" hidden="false" customHeight="false" outlineLevel="0" collapsed="false">
      <c r="A73" s="2"/>
      <c r="B73" s="5" t="s">
        <v>2220</v>
      </c>
      <c r="C73" s="63" t="n">
        <f aca="false">Entrées!$C$257</f>
        <v>3.7</v>
      </c>
      <c r="D73" s="24" t="s">
        <v>133</v>
      </c>
      <c r="E73" s="24" t="s">
        <v>2221</v>
      </c>
      <c r="F73" s="2"/>
      <c r="G73" s="2"/>
      <c r="H73" s="2"/>
    </row>
    <row r="74" customFormat="false" ht="15" hidden="false" customHeight="false" outlineLevel="0" collapsed="false">
      <c r="A74" s="2"/>
      <c r="B74" s="5" t="s">
        <v>2222</v>
      </c>
      <c r="C74" s="66" t="n">
        <f aca="false">Entrées!$C$232/100</f>
        <v>0.185</v>
      </c>
      <c r="D74" s="24" t="s">
        <v>299</v>
      </c>
      <c r="E74" s="24" t="s">
        <v>801</v>
      </c>
      <c r="F74" s="2"/>
      <c r="G74" s="2"/>
      <c r="H74" s="2"/>
    </row>
    <row r="75" customFormat="false" ht="15" hidden="false" customHeight="false" outlineLevel="0" collapsed="false">
      <c r="A75" s="2"/>
      <c r="B75" s="5" t="s">
        <v>2223</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2224</v>
      </c>
      <c r="B79" s="22" t="s">
        <v>2225</v>
      </c>
      <c r="C79" s="2"/>
      <c r="D79" s="2"/>
      <c r="E79" s="2"/>
      <c r="F79" s="2"/>
      <c r="G79" s="2"/>
      <c r="H79" s="2"/>
    </row>
    <row r="80" customFormat="false" ht="15" hidden="false" customHeight="false" outlineLevel="0" collapsed="false">
      <c r="A80" s="21"/>
      <c r="B80" s="21" t="s">
        <v>2226</v>
      </c>
      <c r="C80" s="21" t="s">
        <v>170</v>
      </c>
      <c r="D80" s="21" t="s">
        <v>225</v>
      </c>
      <c r="E80" s="21" t="s">
        <v>2048</v>
      </c>
      <c r="F80" s="2"/>
      <c r="G80" s="2"/>
      <c r="H80" s="2"/>
    </row>
    <row r="81" customFormat="false" ht="15" hidden="false" customHeight="false" outlineLevel="0" collapsed="false">
      <c r="A81" s="2"/>
      <c r="B81" s="5" t="s">
        <v>2227</v>
      </c>
      <c r="C81" s="61" t="n">
        <f aca="false">Entrées!$C$313</f>
        <v>6144</v>
      </c>
      <c r="D81" s="61" t="n">
        <f aca="false">Entrées!$C$314</f>
        <v>5818</v>
      </c>
      <c r="E81" s="24" t="s">
        <v>2228</v>
      </c>
      <c r="F81" s="2"/>
      <c r="G81" s="2"/>
      <c r="H81" s="2"/>
    </row>
    <row r="82" customFormat="false" ht="15" hidden="false" customHeight="false" outlineLevel="0" collapsed="false">
      <c r="A82" s="2"/>
      <c r="B82" s="5" t="s">
        <v>2229</v>
      </c>
      <c r="C82" s="61" t="n">
        <f aca="false">Entrées!$C$319</f>
        <v>-596</v>
      </c>
      <c r="D82" s="61" t="n">
        <f aca="false">Entrées!$C$320</f>
        <v>-579</v>
      </c>
      <c r="E82" s="24" t="s">
        <v>2230</v>
      </c>
      <c r="F82" s="2"/>
      <c r="G82" s="2"/>
      <c r="H82" s="2"/>
    </row>
    <row r="83" customFormat="false" ht="15" hidden="false" customHeight="false" outlineLevel="0" collapsed="false">
      <c r="A83" s="2"/>
      <c r="B83" s="5" t="s">
        <v>2231</v>
      </c>
      <c r="C83" s="61" t="n">
        <f aca="false">Entrées!$C$333</f>
        <v>-619</v>
      </c>
      <c r="D83" s="61" t="n">
        <f aca="false">Entrées!$C$334</f>
        <v>-585</v>
      </c>
      <c r="E83" s="24" t="s">
        <v>2232</v>
      </c>
      <c r="F83" s="2"/>
      <c r="G83" s="2"/>
      <c r="H83" s="2"/>
    </row>
    <row r="84" customFormat="false" ht="15" hidden="false" customHeight="false" outlineLevel="0" collapsed="false">
      <c r="A84" s="2"/>
      <c r="B84" s="5" t="s">
        <v>2233</v>
      </c>
      <c r="C84" s="61" t="n">
        <f aca="false">Entrées!$C$335</f>
        <v>-78</v>
      </c>
      <c r="D84" s="61" t="n">
        <f aca="false">Entrées!$C$336</f>
        <v>-86</v>
      </c>
      <c r="E84" s="24" t="s">
        <v>2234</v>
      </c>
      <c r="F84" s="2"/>
      <c r="G84" s="2"/>
      <c r="H84" s="2"/>
    </row>
    <row r="85" customFormat="false" ht="15" hidden="false" customHeight="false" outlineLevel="0" collapsed="false">
      <c r="A85" s="2"/>
      <c r="B85" s="5" t="s">
        <v>2235</v>
      </c>
      <c r="C85" s="61" t="n">
        <f aca="false">Entrées!$C$337</f>
        <v>-67</v>
      </c>
      <c r="D85" s="61" t="n">
        <f aca="false">Entrées!$C$338</f>
        <v>-66</v>
      </c>
      <c r="E85" s="24" t="s">
        <v>2236</v>
      </c>
      <c r="F85" s="2"/>
      <c r="G85" s="2"/>
      <c r="H85" s="2"/>
    </row>
    <row r="86" customFormat="false" ht="15" hidden="false" customHeight="false" outlineLevel="0" collapsed="false">
      <c r="A86" s="2"/>
      <c r="B86" s="5" t="s">
        <v>2237</v>
      </c>
      <c r="C86" s="61" t="n">
        <f aca="false">Entrées!$C$401</f>
        <v>268</v>
      </c>
      <c r="D86" s="61" t="n">
        <f aca="false">Entrées!$C$324</f>
        <v>227</v>
      </c>
      <c r="E86" s="24" t="s">
        <v>2238</v>
      </c>
      <c r="F86" s="2"/>
      <c r="G86" s="2"/>
      <c r="H86" s="2"/>
    </row>
    <row r="87" customFormat="false" ht="15" hidden="false" customHeight="false" outlineLevel="0" collapsed="false">
      <c r="A87" s="2"/>
      <c r="B87" s="5" t="s">
        <v>2239</v>
      </c>
      <c r="C87" s="61" t="n">
        <f aca="false">Entrées!$C$325</f>
        <v>105</v>
      </c>
      <c r="D87" s="61" t="n">
        <f aca="false">Entrées!$C$326</f>
        <v>123</v>
      </c>
      <c r="E87" s="24" t="s">
        <v>2240</v>
      </c>
      <c r="F87" s="2"/>
      <c r="G87" s="2"/>
      <c r="H87" s="2"/>
    </row>
    <row r="88" customFormat="false" ht="15" hidden="false" customHeight="false" outlineLevel="0" collapsed="false">
      <c r="A88" s="2"/>
      <c r="B88" s="22" t="s">
        <v>2241</v>
      </c>
      <c r="C88" s="70" t="n">
        <f aca="false">SUM(C81:C87)</f>
        <v>5157</v>
      </c>
      <c r="D88" s="70" t="n">
        <f aca="false">SUM(D81:D87)</f>
        <v>4852</v>
      </c>
      <c r="E88" s="2"/>
      <c r="F88" s="2"/>
      <c r="G88" s="2"/>
      <c r="H88" s="2"/>
    </row>
    <row r="89" customFormat="false" ht="15" hidden="false" customHeight="false" outlineLevel="0" collapsed="false">
      <c r="A89" s="2"/>
      <c r="B89" s="5" t="s">
        <v>2242</v>
      </c>
      <c r="C89" s="61" t="n">
        <f aca="false">Entrées!$C$249</f>
        <v>5160</v>
      </c>
      <c r="D89" s="61" t="n">
        <f aca="false">Entrées!$C$250</f>
        <v>4948</v>
      </c>
      <c r="E89" s="24" t="s">
        <v>2243</v>
      </c>
      <c r="F89" s="2"/>
      <c r="G89" s="2"/>
      <c r="H89" s="2"/>
    </row>
    <row r="90" customFormat="false" ht="15" hidden="false" customHeight="false" outlineLevel="0" collapsed="false">
      <c r="A90" s="2"/>
      <c r="B90" s="5" t="s">
        <v>2244</v>
      </c>
      <c r="C90" s="64" t="n">
        <f aca="false">C88-C89</f>
        <v>-3</v>
      </c>
      <c r="D90" s="64" t="n">
        <f aca="false">D88-D89</f>
        <v>-96</v>
      </c>
      <c r="E90" s="2"/>
      <c r="F90" s="2"/>
      <c r="G90" s="2"/>
      <c r="H90" s="2"/>
    </row>
    <row r="91" customFormat="false" ht="15" hidden="false" customHeight="false" outlineLevel="0" collapsed="false">
      <c r="A91" s="2"/>
      <c r="B91" s="22" t="s">
        <v>2245</v>
      </c>
      <c r="C91" s="41" t="n">
        <f aca="false">C88/C89-1</f>
        <v>-0.000581395348837166</v>
      </c>
      <c r="D91" s="41" t="n">
        <f aca="false">D88/D89-1</f>
        <v>-0.0194017784963622</v>
      </c>
      <c r="E91" s="2"/>
      <c r="F91" s="2"/>
      <c r="G91" s="2"/>
      <c r="H91" s="2"/>
    </row>
    <row r="92" customFormat="false" ht="15" hidden="false" customHeight="false" outlineLevel="0" collapsed="false">
      <c r="A92" s="2"/>
      <c r="B92" s="5" t="s">
        <v>2246</v>
      </c>
      <c r="C92" s="66" t="n">
        <f aca="false">C88/Entrées!$C$8</f>
        <v>0.731489361702128</v>
      </c>
      <c r="D92" s="66" t="n">
        <f aca="false">D88/Entrées!$C$22</f>
        <v>0.714790807307012</v>
      </c>
      <c r="E92" s="24" t="s">
        <v>2247</v>
      </c>
      <c r="F92" s="2"/>
      <c r="G92" s="2"/>
      <c r="H92" s="2"/>
    </row>
    <row r="93" customFormat="false" ht="15" hidden="false" customHeight="false" outlineLevel="0" collapsed="false">
      <c r="A93" s="2"/>
      <c r="B93" s="5" t="s">
        <v>2248</v>
      </c>
      <c r="C93" s="66" t="n">
        <f aca="false">C88/Levier!$C$60</f>
        <v>0.202999527633444</v>
      </c>
      <c r="D93" s="66" t="n">
        <f aca="false">D88/Entrées!$C$245</f>
        <v>0.208481931852361</v>
      </c>
      <c r="E93" s="24" t="s">
        <v>2249</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2250</v>
      </c>
      <c r="B96" s="22" t="s">
        <v>2251</v>
      </c>
      <c r="C96" s="2"/>
      <c r="D96" s="2"/>
      <c r="E96" s="2"/>
      <c r="F96" s="2"/>
      <c r="G96" s="2"/>
      <c r="H96" s="2"/>
    </row>
    <row r="97" customFormat="false" ht="35.05" hidden="false" customHeight="false" outlineLevel="0" collapsed="false">
      <c r="A97" s="21"/>
      <c r="B97" s="21" t="s">
        <v>2252</v>
      </c>
      <c r="C97" s="21" t="s">
        <v>2253</v>
      </c>
      <c r="D97" s="21" t="s">
        <v>2254</v>
      </c>
      <c r="E97" s="21" t="s">
        <v>2255</v>
      </c>
      <c r="F97" s="21" t="s">
        <v>2256</v>
      </c>
      <c r="G97" s="21" t="s">
        <v>2257</v>
      </c>
      <c r="H97" s="21" t="s">
        <v>2048</v>
      </c>
    </row>
    <row r="98" customFormat="false" ht="15" hidden="false" customHeight="false" outlineLevel="0" collapsed="false">
      <c r="A98" s="2"/>
      <c r="B98" s="22" t="s">
        <v>2258</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2259</v>
      </c>
    </row>
    <row r="99" customFormat="false" ht="15" hidden="false" customHeight="false" outlineLevel="0" collapsed="false">
      <c r="A99" s="2"/>
      <c r="B99" s="5" t="s">
        <v>2260</v>
      </c>
      <c r="C99" s="71" t="str">
        <f aca="false">Entrées!$C$535</f>
        <v>Baa1 Stable</v>
      </c>
      <c r="D99" s="72" t="n">
        <f aca="false">Entrées!$C$537/100</f>
        <v>0.203</v>
      </c>
      <c r="E99" s="72" t="n">
        <f aca="false">Entrées!$C$538/100</f>
        <v>0.175</v>
      </c>
      <c r="F99" s="63" t="n">
        <f aca="false">Entrées!$C$539</f>
        <v>4.2</v>
      </c>
      <c r="G99" s="61" t="n">
        <f aca="false">Entrées!$C$536</f>
        <v>1415</v>
      </c>
      <c r="H99" s="24" t="s">
        <v>2261</v>
      </c>
    </row>
    <row r="100" customFormat="false" ht="15" hidden="false" customHeight="false" outlineLevel="0" collapsed="false">
      <c r="A100" s="2"/>
      <c r="B100" s="5" t="s">
        <v>2262</v>
      </c>
      <c r="C100" s="71" t="str">
        <f aca="false">Entrées!$C$540</f>
        <v>Baa1 Stable</v>
      </c>
      <c r="D100" s="72" t="n">
        <f aca="false">Entrées!$C$542/100</f>
        <v>0.233</v>
      </c>
      <c r="E100" s="72" t="n">
        <f aca="false">Entrées!$C$543/100</f>
        <v>0.169</v>
      </c>
      <c r="F100" s="63" t="n">
        <f aca="false">Entrées!$C$544</f>
        <v>3.8</v>
      </c>
      <c r="G100" s="61" t="n">
        <f aca="false">Entrées!$C$541</f>
        <v>1476</v>
      </c>
      <c r="H100" s="24" t="s">
        <v>2263</v>
      </c>
    </row>
    <row r="101" customFormat="false" ht="15" hidden="false" customHeight="false" outlineLevel="0" collapsed="false">
      <c r="A101" s="2"/>
      <c r="B101" s="5" t="s">
        <v>2264</v>
      </c>
      <c r="C101" s="71" t="str">
        <f aca="false">Entrées!$C$545</f>
        <v>Baa2 Negative</v>
      </c>
      <c r="D101" s="72" t="n">
        <f aca="false">Entrées!$C$547/100</f>
        <v>0.114</v>
      </c>
      <c r="E101" s="72" t="n">
        <f aca="false">Entrées!$C$548/100</f>
        <v>0.103</v>
      </c>
      <c r="F101" s="63" t="n">
        <f aca="false">Entrées!$C$549</f>
        <v>6.8</v>
      </c>
      <c r="G101" s="61" t="n">
        <f aca="false">Entrées!$C$546</f>
        <v>1088</v>
      </c>
      <c r="H101" s="24" t="s">
        <v>2265</v>
      </c>
    </row>
    <row r="102" customFormat="false" ht="15" hidden="false" customHeight="false" outlineLevel="0" collapsed="false">
      <c r="A102" s="2"/>
      <c r="B102" s="22" t="s">
        <v>2266</v>
      </c>
      <c r="C102" s="41" t="n">
        <f aca="false">D98-D101</f>
        <v>0.089</v>
      </c>
      <c r="D102" s="24" t="s">
        <v>2267</v>
      </c>
      <c r="E102" s="24" t="s">
        <v>2268</v>
      </c>
      <c r="F102" s="2"/>
      <c r="G102" s="2"/>
      <c r="H102" s="2"/>
    </row>
    <row r="103" customFormat="false" ht="15" hidden="false" customHeight="false" outlineLevel="0" collapsed="false">
      <c r="A103" s="2"/>
      <c r="B103" s="22" t="s">
        <v>2269</v>
      </c>
      <c r="C103" s="41" t="n">
        <f aca="false">D98-D100</f>
        <v>-0.03</v>
      </c>
      <c r="D103" s="24" t="s">
        <v>2267</v>
      </c>
      <c r="E103" s="24" t="s">
        <v>2270</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2271</v>
      </c>
      <c r="B106" s="22" t="s">
        <v>2272</v>
      </c>
      <c r="C106" s="2"/>
      <c r="D106" s="2"/>
      <c r="E106" s="2"/>
      <c r="F106" s="2"/>
      <c r="G106" s="2"/>
      <c r="H106" s="2"/>
    </row>
    <row r="107" customFormat="false" ht="35.05" hidden="false" customHeight="false" outlineLevel="0" collapsed="false">
      <c r="A107" s="21"/>
      <c r="B107" s="21" t="s">
        <v>2273</v>
      </c>
      <c r="C107" s="21" t="s">
        <v>2274</v>
      </c>
      <c r="D107" s="21" t="s">
        <v>2275</v>
      </c>
      <c r="E107" s="21" t="s">
        <v>2276</v>
      </c>
      <c r="F107" s="21" t="s">
        <v>2277</v>
      </c>
      <c r="G107" s="21" t="s">
        <v>2048</v>
      </c>
      <c r="H107" s="2"/>
    </row>
    <row r="108" customFormat="false" ht="15" hidden="false" customHeight="false" outlineLevel="0" collapsed="false">
      <c r="A108" s="2"/>
      <c r="B108" s="5" t="s">
        <v>2278</v>
      </c>
      <c r="C108" s="61" t="n">
        <f aca="false">Entrées!$C$570</f>
        <v>500</v>
      </c>
      <c r="D108" s="73" t="n">
        <f aca="false">Entrées!$C$571/100</f>
        <v>0.01625</v>
      </c>
      <c r="E108" s="25" t="s">
        <v>2279</v>
      </c>
      <c r="F108" s="64" t="n">
        <f aca="false">C108*D108</f>
        <v>8.125</v>
      </c>
      <c r="G108" s="24" t="s">
        <v>2280</v>
      </c>
      <c r="H108" s="2"/>
    </row>
    <row r="109" customFormat="false" ht="15" hidden="false" customHeight="false" outlineLevel="0" collapsed="false">
      <c r="A109" s="2"/>
      <c r="B109" s="5" t="s">
        <v>2281</v>
      </c>
      <c r="C109" s="61" t="n">
        <f aca="false">Entrées!$C$572</f>
        <v>500</v>
      </c>
      <c r="D109" s="73" t="n">
        <f aca="false">Entrées!$C$573/100</f>
        <v>0.02</v>
      </c>
      <c r="E109" s="25" t="s">
        <v>2282</v>
      </c>
      <c r="F109" s="64" t="n">
        <f aca="false">C109*D109</f>
        <v>10</v>
      </c>
      <c r="G109" s="24" t="s">
        <v>2283</v>
      </c>
      <c r="H109" s="2"/>
    </row>
    <row r="110" customFormat="false" ht="15" hidden="false" customHeight="false" outlineLevel="0" collapsed="false">
      <c r="A110" s="2"/>
      <c r="B110" s="5" t="s">
        <v>2284</v>
      </c>
      <c r="C110" s="61" t="n">
        <f aca="false">Entrées!$C$574</f>
        <v>600</v>
      </c>
      <c r="D110" s="73" t="n">
        <f aca="false">Entrées!$C$575/100</f>
        <v>0.06</v>
      </c>
      <c r="E110" s="25" t="s">
        <v>2285</v>
      </c>
      <c r="F110" s="64" t="n">
        <f aca="false">C110*D110</f>
        <v>36</v>
      </c>
      <c r="G110" s="24" t="s">
        <v>2286</v>
      </c>
      <c r="H110" s="2"/>
    </row>
    <row r="111" customFormat="false" ht="15" hidden="false" customHeight="false" outlineLevel="0" collapsed="false">
      <c r="A111" s="2"/>
      <c r="B111" s="5" t="s">
        <v>2287</v>
      </c>
      <c r="C111" s="61" t="n">
        <f aca="false">Entrées!$C$568</f>
        <v>1150</v>
      </c>
      <c r="D111" s="73" t="n">
        <f aca="false">Entrées!$C$569/100</f>
        <v>0.025</v>
      </c>
      <c r="E111" s="25" t="s">
        <v>2288</v>
      </c>
      <c r="F111" s="64" t="n">
        <f aca="false">C111*D111</f>
        <v>28.75</v>
      </c>
      <c r="G111" s="24" t="s">
        <v>2289</v>
      </c>
      <c r="H111" s="2"/>
    </row>
    <row r="112" customFormat="false" ht="15" hidden="false" customHeight="false" outlineLevel="0" collapsed="false">
      <c r="A112" s="2"/>
      <c r="B112" s="5" t="s">
        <v>2290</v>
      </c>
      <c r="C112" s="61" t="n">
        <f aca="false">Entrées!$C$576</f>
        <v>500</v>
      </c>
      <c r="D112" s="73" t="n">
        <f aca="false">Entrées!$C$577/100</f>
        <v>0.04371</v>
      </c>
      <c r="E112" s="25" t="s">
        <v>2291</v>
      </c>
      <c r="F112" s="64" t="n">
        <f aca="false">C112*D112</f>
        <v>21.855</v>
      </c>
      <c r="G112" s="24" t="s">
        <v>2292</v>
      </c>
      <c r="H112" s="2"/>
    </row>
    <row r="113" customFormat="false" ht="15" hidden="false" customHeight="false" outlineLevel="0" collapsed="false">
      <c r="A113" s="2"/>
      <c r="B113" s="5" t="s">
        <v>2293</v>
      </c>
      <c r="C113" s="61" t="n">
        <f aca="false">Entrées!$C$578</f>
        <v>850</v>
      </c>
      <c r="D113" s="73" t="n">
        <f aca="false">Entrées!$C$579/100</f>
        <v>0.04322</v>
      </c>
      <c r="E113" s="25" t="s">
        <v>2294</v>
      </c>
      <c r="F113" s="64" t="n">
        <f aca="false">C113*D113</f>
        <v>36.737</v>
      </c>
      <c r="G113" s="24" t="s">
        <v>2295</v>
      </c>
      <c r="H113" s="2"/>
    </row>
    <row r="114" customFormat="false" ht="15" hidden="false" customHeight="false" outlineLevel="0" collapsed="false">
      <c r="A114" s="2"/>
      <c r="B114" s="22" t="s">
        <v>2296</v>
      </c>
      <c r="C114" s="45" t="n">
        <f aca="false">SUM(C108:C113)</f>
        <v>4100</v>
      </c>
      <c r="D114" s="24" t="s">
        <v>103</v>
      </c>
      <c r="E114" s="24"/>
      <c r="F114" s="45" t="n">
        <f aca="false">SUM(F108:F113)</f>
        <v>141.467</v>
      </c>
      <c r="G114" s="2"/>
      <c r="H114" s="2"/>
    </row>
    <row r="115" customFormat="false" ht="15" hidden="false" customHeight="false" outlineLevel="0" collapsed="false">
      <c r="A115" s="2"/>
      <c r="B115" s="5" t="s">
        <v>2297</v>
      </c>
      <c r="C115" s="64" t="n">
        <f aca="false">Entrées!$C$567*1000</f>
        <v>4100</v>
      </c>
      <c r="D115" s="24" t="s">
        <v>103</v>
      </c>
      <c r="E115" s="24" t="s">
        <v>1743</v>
      </c>
      <c r="F115" s="2"/>
      <c r="G115" s="2"/>
      <c r="H115" s="2"/>
    </row>
    <row r="116" customFormat="false" ht="15" hidden="false" customHeight="false" outlineLevel="0" collapsed="false">
      <c r="A116" s="2"/>
      <c r="B116" s="5" t="s">
        <v>2298</v>
      </c>
      <c r="C116" s="74" t="n">
        <f aca="false">F114/C114</f>
        <v>0.0345041463414634</v>
      </c>
      <c r="D116" s="24" t="s">
        <v>299</v>
      </c>
      <c r="E116" s="24" t="s">
        <v>2299</v>
      </c>
      <c r="F116" s="2"/>
      <c r="G116" s="2"/>
      <c r="H116" s="2"/>
    </row>
    <row r="117" customFormat="false" ht="15" hidden="false" customHeight="false" outlineLevel="0" collapsed="false">
      <c r="A117" s="2"/>
      <c r="B117" s="22" t="s">
        <v>2300</v>
      </c>
      <c r="C117" s="45" t="n">
        <f aca="false">C108</f>
        <v>500</v>
      </c>
      <c r="D117" s="24" t="s">
        <v>103</v>
      </c>
      <c r="E117" s="24" t="s">
        <v>2301</v>
      </c>
      <c r="F117" s="2"/>
      <c r="G117" s="2"/>
      <c r="H117" s="2"/>
    </row>
    <row r="118" customFormat="false" ht="15" hidden="false" customHeight="false" outlineLevel="0" collapsed="false">
      <c r="A118" s="2"/>
      <c r="B118" s="22" t="s">
        <v>2302</v>
      </c>
      <c r="C118" s="45" t="n">
        <f aca="false">C108*(Entrées!$C$579-Entrées!$C$571)/100</f>
        <v>13.485</v>
      </c>
      <c r="D118" s="24" t="s">
        <v>103</v>
      </c>
      <c r="E118" s="24" t="s">
        <v>2303</v>
      </c>
      <c r="F118" s="2"/>
      <c r="G118" s="2"/>
      <c r="H118" s="2"/>
    </row>
    <row r="119" customFormat="false" ht="15" hidden="false" customHeight="false" outlineLevel="0" collapsed="false">
      <c r="A119" s="2"/>
      <c r="B119" s="22" t="s">
        <v>2304</v>
      </c>
      <c r="C119" s="62" t="n">
        <f aca="false">(Trajectoire!$D$44+C108)/Trajectoire!$D$41</f>
        <v>2.86585428910308</v>
      </c>
      <c r="D119" s="24" t="s">
        <v>133</v>
      </c>
      <c r="E119" s="24" t="s">
        <v>2305</v>
      </c>
      <c r="F119" s="2"/>
      <c r="G119" s="2"/>
      <c r="H119" s="2"/>
    </row>
    <row r="120" customFormat="false" ht="15" hidden="false" customHeight="false" outlineLevel="0" collapsed="false">
      <c r="A120" s="2"/>
      <c r="B120" s="5" t="s">
        <v>2306</v>
      </c>
      <c r="C120" s="64" t="n">
        <f aca="false">Trajectoire!$D$54+C108*(1-Hypothèses!$J$27)</f>
        <v>28370.6168524571</v>
      </c>
      <c r="D120" s="24" t="s">
        <v>103</v>
      </c>
      <c r="E120" s="24" t="s">
        <v>2307</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2308</v>
      </c>
      <c r="B123" s="22" t="s">
        <v>2309</v>
      </c>
      <c r="C123" s="2"/>
      <c r="D123" s="2"/>
      <c r="E123" s="2"/>
      <c r="F123" s="2"/>
      <c r="G123" s="2"/>
      <c r="H123" s="2"/>
    </row>
    <row r="124" customFormat="false" ht="15" hidden="false" customHeight="false" outlineLevel="0" collapsed="false">
      <c r="A124" s="21"/>
      <c r="B124" s="21" t="s">
        <v>2310</v>
      </c>
      <c r="C124" s="21" t="s">
        <v>2311</v>
      </c>
      <c r="D124" s="21" t="s">
        <v>2312</v>
      </c>
      <c r="E124" s="21" t="s">
        <v>2313</v>
      </c>
      <c r="F124" s="2"/>
      <c r="G124" s="2"/>
      <c r="H124" s="2"/>
    </row>
    <row r="125" customFormat="false" ht="15" hidden="false" customHeight="false" outlineLevel="0" collapsed="false">
      <c r="A125" s="2"/>
      <c r="B125" s="5" t="s">
        <v>2314</v>
      </c>
      <c r="C125" s="75" t="n">
        <f aca="false">(Trajectoire!$D$44+0)/Trajectoire!$D$41</f>
        <v>2.80320887741352</v>
      </c>
      <c r="D125" s="64" t="n">
        <f aca="false">Hypothèses!$J$26*Trajectoire!$D$41-(Trajectoire!$D$44+0)</f>
        <v>1570.67466937297</v>
      </c>
      <c r="E125" s="24" t="s">
        <v>2315</v>
      </c>
      <c r="F125" s="2"/>
      <c r="G125" s="2"/>
      <c r="H125" s="2"/>
    </row>
    <row r="126" customFormat="false" ht="15" hidden="false" customHeight="false" outlineLevel="0" collapsed="false">
      <c r="A126" s="2"/>
      <c r="B126" s="5" t="s">
        <v>2316</v>
      </c>
      <c r="C126" s="75" t="n">
        <f aca="false">(Trajectoire!$D$44+Hypothèses!$J$27*Entrées!$C$15*1000)/Trajectoire!$D$41</f>
        <v>3.06005506534074</v>
      </c>
      <c r="D126" s="64" t="n">
        <f aca="false">Hypothèses!$J$26*Trajectoire!$D$41-(Trajectoire!$D$44+Hypothèses!$J$27*Entrées!$C$15*1000)</f>
        <v>-479.325330627034</v>
      </c>
      <c r="E126" s="24" t="s">
        <v>2317</v>
      </c>
      <c r="F126" s="2"/>
      <c r="G126" s="2"/>
      <c r="H126" s="2"/>
    </row>
    <row r="127" customFormat="false" ht="15" hidden="false" customHeight="false" outlineLevel="0" collapsed="false">
      <c r="A127" s="2"/>
      <c r="B127" s="5" t="s">
        <v>2318</v>
      </c>
      <c r="C127" s="75" t="n">
        <f aca="false">(Trajectoire!$D$44+Entrées!$C$15*1000)/Trajectoire!$D$41</f>
        <v>3.31690125326795</v>
      </c>
      <c r="D127" s="64" t="n">
        <f aca="false">Hypothèses!$J$26*Trajectoire!$D$41-(Trajectoire!$D$44+Entrées!$C$15*1000)</f>
        <v>-2529.32533062703</v>
      </c>
      <c r="E127" s="24" t="s">
        <v>2319</v>
      </c>
      <c r="F127" s="2"/>
      <c r="G127" s="2"/>
      <c r="H127" s="2"/>
    </row>
    <row r="128" customFormat="false" ht="15" hidden="false" customHeight="false" outlineLevel="0" collapsed="false">
      <c r="A128" s="2"/>
      <c r="B128" s="5" t="s">
        <v>2320</v>
      </c>
      <c r="C128" s="75" t="n">
        <f aca="false">(Trajectoire!$D$44+Hypothèses!$J$27*Entrées!$C$15*1000+Entrées!$C$49)/Trajectoire!$D$41</f>
        <v>3.22168022749981</v>
      </c>
      <c r="D128" s="64" t="n">
        <f aca="false">Hypothèses!$J$26*Trajectoire!$D$41-(Trajectoire!$D$44+Hypothèses!$J$27*Entrées!$C$15*1000+Entrées!$C$49)</f>
        <v>-1769.32533062703</v>
      </c>
      <c r="E128" s="24" t="s">
        <v>2321</v>
      </c>
      <c r="F128" s="2"/>
      <c r="G128" s="2"/>
      <c r="H128" s="2"/>
    </row>
    <row r="129" customFormat="false" ht="27.75" hidden="false" customHeight="true" outlineLevel="0" collapsed="false">
      <c r="A129" s="2"/>
      <c r="B129" s="69" t="s">
        <v>2322</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2323</v>
      </c>
      <c r="B1" s="2"/>
      <c r="C1" s="2"/>
      <c r="D1" s="2"/>
      <c r="E1" s="2"/>
    </row>
    <row r="2" customFormat="false" ht="15" hidden="false" customHeight="false" outlineLevel="0" collapsed="false">
      <c r="A2" s="3" t="s">
        <v>2324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2130</v>
      </c>
      <c r="B4" s="22" t="s">
        <v>2325</v>
      </c>
      <c r="C4" s="2"/>
      <c r="D4" s="2"/>
      <c r="E4" s="2"/>
    </row>
    <row r="5" customFormat="false" ht="15" hidden="false" customHeight="false" outlineLevel="0" collapsed="false">
      <c r="A5" s="21"/>
      <c r="B5" s="21" t="s">
        <v>2326</v>
      </c>
      <c r="C5" s="21" t="s">
        <v>103</v>
      </c>
      <c r="D5" s="21"/>
      <c r="E5" s="21" t="s">
        <v>2048</v>
      </c>
    </row>
    <row r="6" customFormat="false" ht="15" hidden="false" customHeight="false" outlineLevel="0" collapsed="false">
      <c r="A6" s="2"/>
      <c r="B6" s="5" t="s">
        <v>2137</v>
      </c>
      <c r="C6" s="61" t="n">
        <f aca="false">Entrées!$C$13</f>
        <v>19657</v>
      </c>
      <c r="D6" s="24"/>
      <c r="E6" s="24" t="s">
        <v>138</v>
      </c>
    </row>
    <row r="7" customFormat="false" ht="15" hidden="false" customHeight="false" outlineLevel="0" collapsed="false">
      <c r="A7" s="2"/>
      <c r="B7" s="5" t="s">
        <v>2327</v>
      </c>
      <c r="C7" s="61" t="n">
        <f aca="false">Entrées!$C$33</f>
        <v>-288</v>
      </c>
      <c r="D7" s="24"/>
      <c r="E7" s="24" t="s">
        <v>208</v>
      </c>
    </row>
    <row r="8" customFormat="false" ht="15" hidden="false" customHeight="false" outlineLevel="0" collapsed="false">
      <c r="A8" s="2"/>
      <c r="B8" s="5" t="s">
        <v>2328</v>
      </c>
      <c r="C8" s="61" t="n">
        <f aca="false">Entrées!$C$77</f>
        <v>-1394</v>
      </c>
      <c r="D8" s="24"/>
      <c r="E8" s="24" t="s">
        <v>353</v>
      </c>
    </row>
    <row r="9" customFormat="false" ht="15" hidden="false" customHeight="false" outlineLevel="0" collapsed="false">
      <c r="A9" s="2"/>
      <c r="B9" s="5" t="s">
        <v>2329</v>
      </c>
      <c r="C9" s="61" t="n">
        <f aca="false">Entrées!$C$80</f>
        <v>-2869</v>
      </c>
      <c r="D9" s="24"/>
      <c r="E9" s="24" t="s">
        <v>362</v>
      </c>
    </row>
    <row r="10" customFormat="false" ht="15" hidden="false" customHeight="false" outlineLevel="0" collapsed="false">
      <c r="A10" s="2"/>
      <c r="B10" s="5" t="s">
        <v>2330</v>
      </c>
      <c r="C10" s="61" t="n">
        <f aca="false">Entrées!$C$84</f>
        <v>-70</v>
      </c>
      <c r="D10" s="24"/>
      <c r="E10" s="24" t="s">
        <v>374</v>
      </c>
    </row>
    <row r="11" customFormat="false" ht="15" hidden="false" customHeight="false" outlineLevel="0" collapsed="false">
      <c r="A11" s="2"/>
      <c r="B11" s="5" t="s">
        <v>2331</v>
      </c>
      <c r="C11" s="61" t="n">
        <f aca="false">Entrées!$C$85</f>
        <v>10</v>
      </c>
      <c r="D11" s="24"/>
      <c r="E11" s="24" t="s">
        <v>377</v>
      </c>
    </row>
    <row r="12" customFormat="false" ht="15" hidden="false" customHeight="false" outlineLevel="0" collapsed="false">
      <c r="A12" s="2"/>
      <c r="B12" s="5" t="s">
        <v>2332</v>
      </c>
      <c r="C12" s="61" t="n">
        <f aca="false">Entrées!$C$83</f>
        <v>-260</v>
      </c>
      <c r="D12" s="24"/>
      <c r="E12" s="24" t="s">
        <v>371</v>
      </c>
    </row>
    <row r="13" customFormat="false" ht="15" hidden="false" customHeight="false" outlineLevel="0" collapsed="false">
      <c r="A13" s="2"/>
      <c r="B13" s="5" t="s">
        <v>2333</v>
      </c>
      <c r="C13" s="61" t="n">
        <f aca="false">Entrées!$C$86</f>
        <v>2</v>
      </c>
      <c r="D13" s="24"/>
      <c r="E13" s="24" t="s">
        <v>379</v>
      </c>
    </row>
    <row r="14" customFormat="false" ht="15" hidden="false" customHeight="false" outlineLevel="0" collapsed="false">
      <c r="A14" s="2"/>
      <c r="B14" s="22" t="s">
        <v>2334</v>
      </c>
      <c r="C14" s="45" t="n">
        <f aca="false">SUM(C7:C13)</f>
        <v>-4869</v>
      </c>
      <c r="D14" s="24"/>
      <c r="E14" s="24"/>
    </row>
    <row r="15" customFormat="false" ht="15" hidden="false" customHeight="false" outlineLevel="0" collapsed="false">
      <c r="A15" s="2"/>
      <c r="B15" s="5" t="s">
        <v>2335</v>
      </c>
      <c r="C15" s="61" t="n">
        <f aca="false">Entrées!$C$87</f>
        <v>-21</v>
      </c>
      <c r="D15" s="24"/>
      <c r="E15" s="24" t="s">
        <v>381</v>
      </c>
    </row>
    <row r="16" customFormat="false" ht="15" hidden="false" customHeight="false" outlineLevel="0" collapsed="false">
      <c r="A16" s="2"/>
      <c r="B16" s="22" t="s">
        <v>2336</v>
      </c>
      <c r="C16" s="45" t="n">
        <f aca="false">C6-C14-C15</f>
        <v>24547</v>
      </c>
      <c r="D16" s="24"/>
      <c r="E16" s="24" t="s">
        <v>2337</v>
      </c>
    </row>
    <row r="17" customFormat="false" ht="15" hidden="false" customHeight="false" outlineLevel="0" collapsed="false">
      <c r="A17" s="2"/>
      <c r="B17" s="5" t="s">
        <v>2338</v>
      </c>
      <c r="C17" s="61" t="n">
        <f aca="false">Entrées!$C$16</f>
        <v>24548</v>
      </c>
      <c r="D17" s="24"/>
      <c r="E17" s="24" t="s">
        <v>151</v>
      </c>
    </row>
    <row r="18" customFormat="false" ht="15" hidden="false" customHeight="false" outlineLevel="0" collapsed="false">
      <c r="A18" s="2"/>
      <c r="B18" s="5" t="s">
        <v>2339</v>
      </c>
      <c r="C18" s="61" t="n">
        <f aca="false">Entrées!$C$81</f>
        <v>-2778</v>
      </c>
      <c r="D18" s="24"/>
      <c r="E18" s="24" t="s">
        <v>365</v>
      </c>
    </row>
    <row r="19" customFormat="false" ht="15" hidden="false" customHeight="false" outlineLevel="0" collapsed="false">
      <c r="A19" s="2"/>
      <c r="B19" s="5" t="s">
        <v>2340</v>
      </c>
      <c r="C19" s="61" t="n">
        <f aca="false">Entrées!$C$82</f>
        <v>-137</v>
      </c>
      <c r="D19" s="24"/>
      <c r="E19" s="24" t="s">
        <v>368</v>
      </c>
    </row>
    <row r="20" customFormat="false" ht="15" hidden="false" customHeight="false" outlineLevel="0" collapsed="false">
      <c r="A20" s="2"/>
      <c r="B20" s="22" t="s">
        <v>2341</v>
      </c>
      <c r="C20" s="45" t="n">
        <f aca="false">-C18-Entrées!$C$46</f>
        <v>236</v>
      </c>
      <c r="D20" s="24"/>
      <c r="E20" s="24" t="s">
        <v>2342</v>
      </c>
    </row>
    <row r="21" customFormat="false" ht="15" hidden="false" customHeight="false" outlineLevel="0" collapsed="false">
      <c r="A21" s="2"/>
      <c r="B21" s="2"/>
      <c r="C21" s="2"/>
      <c r="D21" s="2"/>
      <c r="E21" s="2"/>
    </row>
    <row r="22" customFormat="false" ht="15" hidden="false" customHeight="false" outlineLevel="0" collapsed="false">
      <c r="A22" s="22" t="s">
        <v>2143</v>
      </c>
      <c r="B22" s="22" t="s">
        <v>2343</v>
      </c>
      <c r="C22" s="2"/>
      <c r="D22" s="2"/>
      <c r="E22" s="2"/>
    </row>
    <row r="23" customFormat="false" ht="15" hidden="false" customHeight="false" outlineLevel="0" collapsed="false">
      <c r="A23" s="21"/>
      <c r="B23" s="21" t="s">
        <v>2326</v>
      </c>
      <c r="C23" s="21" t="s">
        <v>103</v>
      </c>
      <c r="D23" s="21"/>
      <c r="E23" s="21" t="s">
        <v>2048</v>
      </c>
    </row>
    <row r="24" customFormat="false" ht="15" hidden="false" customHeight="false" outlineLevel="0" collapsed="false">
      <c r="A24" s="2"/>
      <c r="B24" s="5" t="s">
        <v>2132</v>
      </c>
      <c r="C24" s="61" t="n">
        <f aca="false">Entrées!$C$28</f>
        <v>17819</v>
      </c>
      <c r="D24" s="24"/>
      <c r="E24" s="24" t="s">
        <v>192</v>
      </c>
    </row>
    <row r="25" customFormat="false" ht="15" hidden="false" customHeight="false" outlineLevel="0" collapsed="false">
      <c r="A25" s="2"/>
      <c r="B25" s="5" t="s">
        <v>2327</v>
      </c>
      <c r="C25" s="61" t="n">
        <f aca="false">Entrées!$C$34</f>
        <v>1178</v>
      </c>
      <c r="D25" s="24"/>
      <c r="E25" s="24" t="s">
        <v>211</v>
      </c>
    </row>
    <row r="26" customFormat="false" ht="15" hidden="false" customHeight="false" outlineLevel="0" collapsed="false">
      <c r="A26" s="2"/>
      <c r="B26" s="5" t="s">
        <v>2329</v>
      </c>
      <c r="C26" s="61" t="n">
        <f aca="false">Entrées!$C$69</f>
        <v>-2301</v>
      </c>
      <c r="D26" s="24"/>
      <c r="E26" s="24" t="s">
        <v>330</v>
      </c>
    </row>
    <row r="27" customFormat="false" ht="15" hidden="false" customHeight="false" outlineLevel="0" collapsed="false">
      <c r="A27" s="2"/>
      <c r="B27" s="5" t="s">
        <v>2344</v>
      </c>
      <c r="C27" s="61" t="n">
        <f aca="false">Entrées!$C$70</f>
        <v>-1023</v>
      </c>
      <c r="D27" s="24"/>
      <c r="E27" s="24" t="s">
        <v>333</v>
      </c>
    </row>
    <row r="28" customFormat="false" ht="15" hidden="false" customHeight="false" outlineLevel="0" collapsed="false">
      <c r="A28" s="2"/>
      <c r="B28" s="5" t="s">
        <v>2345</v>
      </c>
      <c r="C28" s="61" t="n">
        <f aca="false">Entrées!$C$71</f>
        <v>497</v>
      </c>
      <c r="D28" s="24"/>
      <c r="E28" s="24" t="s">
        <v>336</v>
      </c>
    </row>
    <row r="29" customFormat="false" ht="15" hidden="false" customHeight="false" outlineLevel="0" collapsed="false">
      <c r="A29" s="2"/>
      <c r="B29" s="5" t="s">
        <v>2346</v>
      </c>
      <c r="C29" s="61" t="n">
        <f aca="false">Entrées!$C$72</f>
        <v>318</v>
      </c>
      <c r="D29" s="24"/>
      <c r="E29" s="24" t="s">
        <v>339</v>
      </c>
    </row>
    <row r="30" customFormat="false" ht="15" hidden="false" customHeight="false" outlineLevel="0" collapsed="false">
      <c r="A30" s="2"/>
      <c r="B30" s="5" t="s">
        <v>2347</v>
      </c>
      <c r="C30" s="61" t="n">
        <f aca="false">Entrées!$C$73</f>
        <v>-402</v>
      </c>
      <c r="D30" s="24"/>
      <c r="E30" s="24" t="s">
        <v>342</v>
      </c>
    </row>
    <row r="31" customFormat="false" ht="15" hidden="false" customHeight="false" outlineLevel="0" collapsed="false">
      <c r="A31" s="2"/>
      <c r="B31" s="5" t="s">
        <v>2348</v>
      </c>
      <c r="C31" s="61" t="n">
        <f aca="false">Entrées!$C$74</f>
        <v>293</v>
      </c>
      <c r="D31" s="24"/>
      <c r="E31" s="24" t="s">
        <v>345</v>
      </c>
    </row>
    <row r="32" customFormat="false" ht="15" hidden="false" customHeight="false" outlineLevel="0" collapsed="false">
      <c r="A32" s="2"/>
      <c r="B32" s="22" t="s">
        <v>2349</v>
      </c>
      <c r="C32" s="45" t="n">
        <f aca="false">SUM(C25:C31)</f>
        <v>-1440</v>
      </c>
      <c r="D32" s="24"/>
      <c r="E32" s="24"/>
    </row>
    <row r="33" customFormat="false" ht="15" hidden="false" customHeight="false" outlineLevel="0" collapsed="false">
      <c r="A33" s="2"/>
      <c r="B33" s="5" t="s">
        <v>2350</v>
      </c>
      <c r="C33" s="64" t="n">
        <f aca="false">C24-C32</f>
        <v>19259</v>
      </c>
      <c r="D33" s="24"/>
      <c r="E33" s="24"/>
    </row>
    <row r="34" customFormat="false" ht="15" hidden="false" customHeight="false" outlineLevel="0" collapsed="false">
      <c r="A34" s="2"/>
      <c r="B34" s="5" t="s">
        <v>2351</v>
      </c>
      <c r="C34" s="61" t="n">
        <f aca="false">Entrées!$C$13</f>
        <v>19657</v>
      </c>
      <c r="D34" s="24"/>
      <c r="E34" s="24" t="s">
        <v>138</v>
      </c>
    </row>
    <row r="35" customFormat="false" ht="15" hidden="false" customHeight="false" outlineLevel="0" collapsed="false">
      <c r="A35" s="2"/>
      <c r="B35" s="22" t="s">
        <v>2352</v>
      </c>
      <c r="C35" s="45" t="n">
        <f aca="false">C34-C33</f>
        <v>398</v>
      </c>
      <c r="D35" s="24"/>
      <c r="E35" s="24" t="s">
        <v>2353</v>
      </c>
    </row>
    <row r="36" customFormat="false" ht="15" hidden="false" customHeight="false" outlineLevel="0" collapsed="false">
      <c r="A36" s="2"/>
      <c r="B36" s="5" t="s">
        <v>2354</v>
      </c>
      <c r="C36" s="64" t="n">
        <f aca="false">-Entrées!$C$78+Entrées!$C$70</f>
        <v>244</v>
      </c>
      <c r="D36" s="24"/>
      <c r="E36" s="24" t="s">
        <v>2355</v>
      </c>
    </row>
    <row r="37" customFormat="false" ht="15" hidden="false" customHeight="false" outlineLevel="0" collapsed="false">
      <c r="A37" s="2"/>
      <c r="B37" s="2"/>
      <c r="C37" s="2"/>
      <c r="D37" s="2"/>
      <c r="E37" s="2"/>
    </row>
    <row r="38" customFormat="false" ht="15" hidden="false" customHeight="false" outlineLevel="0" collapsed="false">
      <c r="A38" s="22" t="s">
        <v>2308</v>
      </c>
      <c r="B38" s="22" t="s">
        <v>2356</v>
      </c>
      <c r="C38" s="2"/>
      <c r="D38" s="2"/>
      <c r="E38" s="2"/>
    </row>
    <row r="39" customFormat="false" ht="15" hidden="false" customHeight="false" outlineLevel="0" collapsed="false">
      <c r="A39" s="2"/>
      <c r="B39" s="5" t="s">
        <v>2357</v>
      </c>
      <c r="C39" s="61" t="n">
        <f aca="false">Entrées!$C$75</f>
        <v>-451</v>
      </c>
      <c r="D39" s="24"/>
      <c r="E39" s="24" t="s">
        <v>348</v>
      </c>
    </row>
    <row r="40" customFormat="false" ht="15" hidden="false" customHeight="false" outlineLevel="0" collapsed="false">
      <c r="A40" s="2"/>
      <c r="B40" s="22" t="s">
        <v>2358</v>
      </c>
      <c r="C40" s="45" t="n">
        <f aca="false">Entrées!$C$34-Entrées!$C$75</f>
        <v>1629</v>
      </c>
      <c r="D40" s="24"/>
      <c r="E40" s="24" t="s">
        <v>2359</v>
      </c>
    </row>
    <row r="41" customFormat="false" ht="15" hidden="false" customHeight="false" outlineLevel="0" collapsed="false">
      <c r="A41" s="2"/>
      <c r="B41" s="5" t="s">
        <v>2360</v>
      </c>
      <c r="C41" s="61" t="n">
        <f aca="false">Entrées!$C$89</f>
        <v>-1171</v>
      </c>
      <c r="D41" s="24"/>
      <c r="E41" s="24" t="s">
        <v>387</v>
      </c>
    </row>
    <row r="42" customFormat="false" ht="15" hidden="false" customHeight="false" outlineLevel="0" collapsed="false">
      <c r="A42" s="2"/>
      <c r="B42" s="5" t="s">
        <v>2361</v>
      </c>
      <c r="C42" s="61" t="n">
        <f aca="false">Entrées!$C$88</f>
        <v>-1238</v>
      </c>
      <c r="D42" s="24"/>
      <c r="E42" s="24" t="s">
        <v>384</v>
      </c>
    </row>
    <row r="43" customFormat="false" ht="15" hidden="false" customHeight="false" outlineLevel="0" collapsed="false">
      <c r="A43" s="2"/>
      <c r="B43" s="5" t="s">
        <v>2362</v>
      </c>
      <c r="C43" s="61" t="n">
        <f aca="false">Entrées!$C$76</f>
        <v>20764</v>
      </c>
      <c r="D43" s="24"/>
      <c r="E43" s="24" t="s">
        <v>350</v>
      </c>
    </row>
    <row r="44" customFormat="false" ht="15" hidden="false" customHeight="false" outlineLevel="0" collapsed="false">
      <c r="A44" s="2"/>
      <c r="B44" s="5" t="s">
        <v>2363</v>
      </c>
      <c r="C44" s="61" t="n">
        <f aca="false">Entrées!$C$13</f>
        <v>19657</v>
      </c>
      <c r="D44" s="24"/>
      <c r="E44" s="24" t="s">
        <v>138</v>
      </c>
    </row>
    <row r="45" customFormat="false" ht="15" hidden="false" customHeight="false" outlineLevel="0" collapsed="false">
      <c r="A45" s="2"/>
      <c r="B45" s="22" t="s">
        <v>2364</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2365</v>
      </c>
      <c r="B1" s="2"/>
      <c r="C1" s="2"/>
      <c r="D1" s="2"/>
      <c r="E1" s="2"/>
      <c r="F1" s="2"/>
      <c r="G1" s="2"/>
      <c r="H1" s="2"/>
      <c r="I1" s="2"/>
      <c r="J1" s="2"/>
      <c r="K1" s="2"/>
      <c r="L1" s="2"/>
    </row>
    <row r="2" customFormat="false" ht="15" hidden="false" customHeight="false" outlineLevel="0" collapsed="false">
      <c r="A2" s="3" t="s">
        <v>2366</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2130</v>
      </c>
      <c r="B4" s="22" t="s">
        <v>2367</v>
      </c>
      <c r="C4" s="2"/>
      <c r="D4" s="2"/>
      <c r="E4" s="2"/>
      <c r="F4" s="2"/>
      <c r="G4" s="2"/>
      <c r="H4" s="2"/>
      <c r="I4" s="2"/>
      <c r="J4" s="2"/>
      <c r="K4" s="2"/>
      <c r="L4" s="2"/>
    </row>
    <row r="5" customFormat="false" ht="15" hidden="false" customHeight="false" outlineLevel="0" collapsed="false">
      <c r="A5" s="21"/>
      <c r="B5" s="21" t="s">
        <v>2368</v>
      </c>
      <c r="C5" s="21" t="s">
        <v>191</v>
      </c>
      <c r="D5" s="21" t="s">
        <v>156</v>
      </c>
      <c r="E5" s="21" t="s">
        <v>2369</v>
      </c>
      <c r="F5" s="21" t="s">
        <v>2370</v>
      </c>
      <c r="G5" s="21" t="s">
        <v>1310</v>
      </c>
      <c r="H5" s="21" t="s">
        <v>2371</v>
      </c>
      <c r="I5" s="21" t="s">
        <v>2372</v>
      </c>
      <c r="J5" s="21" t="s">
        <v>2373</v>
      </c>
      <c r="K5" s="21" t="s">
        <v>2374</v>
      </c>
      <c r="L5" s="21" t="s">
        <v>2048</v>
      </c>
    </row>
    <row r="6" customFormat="false" ht="15" hidden="false" customHeight="false" outlineLevel="0" collapsed="false">
      <c r="A6" s="2"/>
      <c r="B6" s="5" t="s">
        <v>2375</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2376</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2377</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2378</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2379</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2380</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2381</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2382</v>
      </c>
      <c r="C13" s="61" t="n">
        <f aca="false">Entrées!$C$301</f>
        <v>4933</v>
      </c>
      <c r="D13" s="2"/>
      <c r="E13" s="2"/>
      <c r="F13" s="2"/>
      <c r="G13" s="2"/>
      <c r="H13" s="2"/>
      <c r="I13" s="2"/>
      <c r="J13" s="2"/>
      <c r="K13" s="2"/>
      <c r="L13" s="24" t="s">
        <v>995</v>
      </c>
    </row>
    <row r="14" customFormat="false" ht="15" hidden="false" customHeight="false" outlineLevel="0" collapsed="false">
      <c r="A14" s="2"/>
      <c r="B14" s="5" t="s">
        <v>2383</v>
      </c>
      <c r="C14" s="61" t="n">
        <f aca="false">Entrées!$C$302</f>
        <v>863</v>
      </c>
      <c r="D14" s="2"/>
      <c r="E14" s="2"/>
      <c r="F14" s="2"/>
      <c r="G14" s="2"/>
      <c r="H14" s="2"/>
      <c r="I14" s="2"/>
      <c r="J14" s="2"/>
      <c r="K14" s="2"/>
      <c r="L14" s="24" t="s">
        <v>998</v>
      </c>
    </row>
    <row r="15" customFormat="false" ht="15" hidden="false" customHeight="false" outlineLevel="0" collapsed="false">
      <c r="A15" s="2"/>
      <c r="B15" s="22" t="s">
        <v>2384</v>
      </c>
      <c r="C15" s="45" t="n">
        <f aca="false">C10-C13-C14</f>
        <v>3846</v>
      </c>
      <c r="D15" s="2"/>
      <c r="E15" s="2"/>
      <c r="F15" s="2"/>
      <c r="G15" s="2"/>
      <c r="H15" s="2"/>
      <c r="I15" s="2"/>
      <c r="J15" s="2"/>
      <c r="K15" s="2"/>
      <c r="L15" s="2"/>
    </row>
    <row r="16" customFormat="false" ht="15" hidden="false" customHeight="false" outlineLevel="0" collapsed="false">
      <c r="A16" s="2"/>
      <c r="B16" s="5" t="s">
        <v>2385</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2143</v>
      </c>
      <c r="B18" s="22" t="s">
        <v>2386</v>
      </c>
      <c r="C18" s="2"/>
      <c r="D18" s="2"/>
      <c r="E18" s="2"/>
      <c r="F18" s="2"/>
      <c r="G18" s="2"/>
      <c r="H18" s="2"/>
      <c r="I18" s="2"/>
      <c r="J18" s="2"/>
      <c r="K18" s="2"/>
      <c r="L18" s="2"/>
    </row>
    <row r="19" customFormat="false" ht="35.05" hidden="false" customHeight="false" outlineLevel="0" collapsed="false">
      <c r="A19" s="21"/>
      <c r="B19" s="21" t="s">
        <v>2387</v>
      </c>
      <c r="C19" s="21" t="s">
        <v>2388</v>
      </c>
      <c r="D19" s="21" t="s">
        <v>2389</v>
      </c>
      <c r="E19" s="21" t="s">
        <v>2390</v>
      </c>
      <c r="F19" s="21" t="s">
        <v>2391</v>
      </c>
      <c r="G19" s="21" t="s">
        <v>2392</v>
      </c>
      <c r="H19" s="2"/>
      <c r="I19" s="2"/>
      <c r="J19" s="2"/>
      <c r="K19" s="2"/>
      <c r="L19" s="2"/>
    </row>
    <row r="20" customFormat="false" ht="15" hidden="false" customHeight="false" outlineLevel="0" collapsed="false">
      <c r="A20" s="2"/>
      <c r="B20" s="25" t="s">
        <v>191</v>
      </c>
      <c r="C20" s="68" t="n">
        <f aca="false">Entrées!$C$276+Entrées!$C$277</f>
        <v>1400</v>
      </c>
      <c r="D20" s="53" t="s">
        <v>2057</v>
      </c>
      <c r="E20" s="53" t="s">
        <v>2057</v>
      </c>
      <c r="F20" s="53" t="s">
        <v>2057</v>
      </c>
      <c r="G20" s="24" t="s">
        <v>2393</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2394</v>
      </c>
      <c r="H21" s="2"/>
      <c r="I21" s="2"/>
      <c r="J21" s="2"/>
      <c r="K21" s="2"/>
      <c r="L21" s="2"/>
    </row>
    <row r="22" customFormat="false" ht="15" hidden="false" customHeight="false" outlineLevel="0" collapsed="false">
      <c r="A22" s="2"/>
      <c r="B22" s="25" t="s">
        <v>2369</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2395</v>
      </c>
      <c r="H22" s="2"/>
      <c r="I22" s="2"/>
      <c r="J22" s="2"/>
      <c r="K22" s="2"/>
      <c r="L22" s="2"/>
    </row>
    <row r="23" customFormat="false" ht="15" hidden="false" customHeight="false" outlineLevel="0" collapsed="false">
      <c r="A23" s="2"/>
      <c r="B23" s="25" t="s">
        <v>2370</v>
      </c>
      <c r="C23" s="68" t="n">
        <f aca="false">Entrées!$C$386+Entrées!$C$387+Entrées!$C$388</f>
        <v>1275</v>
      </c>
      <c r="D23" s="53" t="s">
        <v>2057</v>
      </c>
      <c r="E23" s="53" t="s">
        <v>2057</v>
      </c>
      <c r="F23" s="53" t="s">
        <v>2057</v>
      </c>
      <c r="G23" s="24" t="s">
        <v>2396</v>
      </c>
      <c r="H23" s="2"/>
      <c r="I23" s="2"/>
      <c r="J23" s="2"/>
      <c r="K23" s="2"/>
      <c r="L23" s="2"/>
    </row>
    <row r="24" customFormat="false" ht="15" hidden="false" customHeight="false" outlineLevel="0" collapsed="false">
      <c r="A24" s="2"/>
      <c r="B24" s="25" t="s">
        <v>1310</v>
      </c>
      <c r="C24" s="68" t="n">
        <f aca="false">Entrées!$C$389+Entrées!$C$390+Entrées!$C$391+Entrées!$C$294</f>
        <v>1587</v>
      </c>
      <c r="D24" s="53" t="s">
        <v>2057</v>
      </c>
      <c r="E24" s="53" t="s">
        <v>2057</v>
      </c>
      <c r="F24" s="53" t="s">
        <v>2057</v>
      </c>
      <c r="G24" s="24" t="s">
        <v>2397</v>
      </c>
      <c r="H24" s="2"/>
      <c r="I24" s="2"/>
      <c r="J24" s="2"/>
      <c r="K24" s="2"/>
      <c r="L24" s="2"/>
    </row>
    <row r="25" customFormat="false" ht="15" hidden="false" customHeight="false" outlineLevel="0" collapsed="false">
      <c r="A25" s="2"/>
      <c r="B25" s="5" t="s">
        <v>2398</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2399</v>
      </c>
      <c r="C26" s="45" t="n">
        <f aca="false">F21+F22</f>
        <v>74.4695</v>
      </c>
      <c r="D26" s="2"/>
      <c r="E26" s="2"/>
      <c r="F26" s="2"/>
      <c r="G26" s="2"/>
      <c r="H26" s="2"/>
      <c r="I26" s="2"/>
      <c r="J26" s="2"/>
      <c r="K26" s="2"/>
      <c r="L26" s="2"/>
    </row>
    <row r="27" customFormat="false" ht="15" hidden="false" customHeight="false" outlineLevel="0" collapsed="false">
      <c r="A27" s="2"/>
      <c r="B27" s="24" t="s">
        <v>2400</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2308</v>
      </c>
      <c r="B30" s="22" t="s">
        <v>2401</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2129</v>
      </c>
      <c r="F31" s="2"/>
      <c r="G31" s="2"/>
      <c r="H31" s="2"/>
      <c r="I31" s="2"/>
      <c r="J31" s="2"/>
      <c r="K31" s="2"/>
      <c r="L31" s="2"/>
    </row>
    <row r="32" customFormat="false" ht="15" hidden="false" customHeight="false" outlineLevel="0" collapsed="false">
      <c r="A32" s="2"/>
      <c r="B32" s="5" t="s">
        <v>2402</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2403</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2404</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2405</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2406</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2407</v>
      </c>
      <c r="C37" s="45" t="n">
        <f aca="false">SUM(C32:C36)</f>
        <v>15911</v>
      </c>
      <c r="D37" s="24" t="s">
        <v>103</v>
      </c>
      <c r="E37" s="24" t="s">
        <v>2199</v>
      </c>
      <c r="F37" s="2"/>
      <c r="G37" s="2"/>
      <c r="H37" s="2"/>
      <c r="I37" s="2"/>
      <c r="J37" s="2"/>
      <c r="K37" s="2"/>
      <c r="L37" s="2"/>
    </row>
    <row r="38" customFormat="false" ht="15" hidden="false" customHeight="false" outlineLevel="0" collapsed="false">
      <c r="A38" s="2"/>
      <c r="B38" s="5" t="s">
        <v>2408</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2409</v>
      </c>
      <c r="C39" s="64" t="n">
        <f aca="false">C32+C33+C35</f>
        <v>5938</v>
      </c>
      <c r="D39" s="24" t="s">
        <v>103</v>
      </c>
      <c r="E39" s="24" t="s">
        <v>2410</v>
      </c>
      <c r="F39" s="2"/>
      <c r="G39" s="2"/>
      <c r="H39" s="2"/>
      <c r="I39" s="2"/>
      <c r="J39" s="2"/>
      <c r="K39" s="2"/>
      <c r="L39" s="2"/>
    </row>
    <row r="40" customFormat="false" ht="15" hidden="false" customHeight="false" outlineLevel="0" collapsed="false">
      <c r="A40" s="2"/>
      <c r="B40" s="5" t="s">
        <v>2411</v>
      </c>
      <c r="C40" s="64" t="n">
        <f aca="false">C34+C36</f>
        <v>9973</v>
      </c>
      <c r="D40" s="24" t="s">
        <v>103</v>
      </c>
      <c r="E40" s="24"/>
      <c r="F40" s="2"/>
      <c r="G40" s="2"/>
      <c r="H40" s="2"/>
      <c r="I40" s="2"/>
      <c r="J40" s="2"/>
      <c r="K40" s="2"/>
      <c r="L40" s="2"/>
    </row>
    <row r="41" customFormat="false" ht="15" hidden="false" customHeight="false" outlineLevel="0" collapsed="false">
      <c r="A41" s="2"/>
      <c r="B41" s="22" t="s">
        <v>2412</v>
      </c>
      <c r="C41" s="62" t="n">
        <f aca="false">C38/C10</f>
        <v>1.65017631196847</v>
      </c>
      <c r="D41" s="24" t="s">
        <v>133</v>
      </c>
      <c r="E41" s="24" t="s">
        <v>2413</v>
      </c>
      <c r="F41" s="2"/>
      <c r="G41" s="2"/>
      <c r="H41" s="2"/>
      <c r="I41" s="2"/>
      <c r="J41" s="2"/>
      <c r="K41" s="2"/>
      <c r="L41" s="2"/>
    </row>
    <row r="42" customFormat="false" ht="15" hidden="false" customHeight="false" outlineLevel="0" collapsed="false">
      <c r="A42" s="2"/>
      <c r="B42" s="22" t="s">
        <v>2414</v>
      </c>
      <c r="C42" s="62" t="n">
        <f aca="false">C38/C15</f>
        <v>4.13702548101924</v>
      </c>
      <c r="D42" s="24" t="s">
        <v>133</v>
      </c>
      <c r="E42" s="24"/>
      <c r="F42" s="2"/>
      <c r="G42" s="2"/>
      <c r="H42" s="2"/>
      <c r="I42" s="2"/>
      <c r="J42" s="2"/>
      <c r="K42" s="2"/>
      <c r="L42" s="2"/>
    </row>
    <row r="43" customFormat="false" ht="15" hidden="false" customHeight="false" outlineLevel="0" collapsed="false">
      <c r="A43" s="2"/>
      <c r="B43" s="5" t="s">
        <v>2415</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2416</v>
      </c>
      <c r="C44" s="75" t="n">
        <f aca="false">(C38+Trajectoire!$D$42)/(C10+D10)</f>
        <v>1.27379761675482</v>
      </c>
      <c r="D44" s="24" t="s">
        <v>133</v>
      </c>
      <c r="E44" s="24" t="s">
        <v>2417</v>
      </c>
      <c r="F44" s="2"/>
      <c r="G44" s="2"/>
      <c r="H44" s="2"/>
      <c r="I44" s="2"/>
      <c r="J44" s="2"/>
      <c r="K44" s="2"/>
      <c r="L44" s="2"/>
    </row>
    <row r="45" customFormat="false" ht="15" hidden="false" customHeight="false" outlineLevel="0" collapsed="false">
      <c r="A45" s="2"/>
      <c r="B45" s="5" t="s">
        <v>2160</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2418</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2419</v>
      </c>
      <c r="B1" s="2"/>
      <c r="C1" s="2"/>
      <c r="D1" s="2"/>
      <c r="E1" s="2"/>
    </row>
    <row r="2" customFormat="false" ht="15" hidden="false" customHeight="false" outlineLevel="0" collapsed="false">
      <c r="A2" s="3" t="s">
        <v>2420</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2130</v>
      </c>
      <c r="B4" s="22" t="s">
        <v>2421</v>
      </c>
      <c r="C4" s="2"/>
      <c r="D4" s="2"/>
      <c r="E4" s="2"/>
    </row>
    <row r="5" customFormat="false" ht="15" hidden="false" customHeight="false" outlineLevel="0" collapsed="false">
      <c r="A5" s="21"/>
      <c r="B5" s="21" t="s">
        <v>2422</v>
      </c>
      <c r="C5" s="21" t="s">
        <v>113</v>
      </c>
      <c r="D5" s="21"/>
      <c r="E5" s="21" t="s">
        <v>2048</v>
      </c>
    </row>
    <row r="6" customFormat="false" ht="15" hidden="false" customHeight="false" outlineLevel="0" collapsed="false">
      <c r="A6" s="2"/>
      <c r="B6" s="5" t="s">
        <v>2423</v>
      </c>
      <c r="C6" s="78" t="n">
        <f aca="false">Entrées!$C$95</f>
        <v>1.9</v>
      </c>
      <c r="D6" s="24"/>
      <c r="E6" s="24" t="s">
        <v>404</v>
      </c>
    </row>
    <row r="7" customFormat="false" ht="15" hidden="false" customHeight="false" outlineLevel="0" collapsed="false">
      <c r="A7" s="2"/>
      <c r="B7" s="5" t="s">
        <v>2424</v>
      </c>
      <c r="C7" s="78" t="n">
        <f aca="false">Entrées!$C$96</f>
        <v>1.5</v>
      </c>
      <c r="D7" s="24"/>
      <c r="E7" s="24" t="s">
        <v>407</v>
      </c>
    </row>
    <row r="8" customFormat="false" ht="15" hidden="false" customHeight="false" outlineLevel="0" collapsed="false">
      <c r="A8" s="2"/>
      <c r="B8" s="5" t="s">
        <v>2425</v>
      </c>
      <c r="C8" s="79" t="n">
        <f aca="false">-Entrées!$C$97</f>
        <v>-0.3</v>
      </c>
      <c r="D8" s="24"/>
      <c r="E8" s="24" t="s">
        <v>410</v>
      </c>
    </row>
    <row r="9" customFormat="false" ht="15" hidden="false" customHeight="false" outlineLevel="0" collapsed="false">
      <c r="A9" s="2"/>
      <c r="B9" s="22" t="s">
        <v>2426</v>
      </c>
      <c r="C9" s="51" t="n">
        <f aca="false">SUM(C6:C8)</f>
        <v>3.1</v>
      </c>
      <c r="D9" s="24"/>
      <c r="E9" s="24"/>
    </row>
    <row r="10" customFormat="false" ht="15" hidden="false" customHeight="false" outlineLevel="0" collapsed="false">
      <c r="A10" s="2"/>
      <c r="B10" s="5" t="s">
        <v>2427</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2428</v>
      </c>
      <c r="C12" s="78" t="n">
        <f aca="false">Entrées!$C$10</f>
        <v>0.5</v>
      </c>
      <c r="D12" s="24"/>
      <c r="E12" s="24" t="s">
        <v>128</v>
      </c>
    </row>
    <row r="13" customFormat="false" ht="15" hidden="false" customHeight="false" outlineLevel="0" collapsed="false">
      <c r="A13" s="2"/>
      <c r="B13" s="5" t="s">
        <v>2429</v>
      </c>
      <c r="C13" s="78" t="n">
        <f aca="false">Entrées!$C$26</f>
        <v>1</v>
      </c>
      <c r="D13" s="24"/>
      <c r="E13" s="24" t="s">
        <v>186</v>
      </c>
    </row>
    <row r="14" customFormat="false" ht="15" hidden="false" customHeight="false" outlineLevel="0" collapsed="false">
      <c r="A14" s="2"/>
      <c r="B14" s="5" t="s">
        <v>2430</v>
      </c>
      <c r="C14" s="78" t="n">
        <f aca="false">Entrées!$C$23</f>
        <v>0.5</v>
      </c>
      <c r="D14" s="24"/>
      <c r="E14" s="24" t="s">
        <v>179</v>
      </c>
    </row>
    <row r="15" customFormat="false" ht="15" hidden="false" customHeight="false" outlineLevel="0" collapsed="false">
      <c r="A15" s="2"/>
      <c r="B15" s="5" t="s">
        <v>2431</v>
      </c>
      <c r="C15" s="79" t="n">
        <f aca="false">C12-C14</f>
        <v>0</v>
      </c>
      <c r="D15" s="24"/>
      <c r="E15" s="24"/>
    </row>
    <row r="16" customFormat="false" ht="15" hidden="false" customHeight="false" outlineLevel="0" collapsed="false">
      <c r="A16" s="2"/>
      <c r="B16" s="22" t="s">
        <v>2432</v>
      </c>
      <c r="C16" s="51" t="n">
        <f aca="false">C13-C14</f>
        <v>0.5</v>
      </c>
      <c r="D16" s="24"/>
      <c r="E16" s="24"/>
    </row>
    <row r="17" customFormat="false" ht="15" hidden="false" customHeight="false" outlineLevel="0" collapsed="false">
      <c r="A17" s="2"/>
      <c r="B17" s="5" t="s">
        <v>2433</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2143</v>
      </c>
      <c r="B20" s="22" t="s">
        <v>2434</v>
      </c>
      <c r="C20" s="2"/>
      <c r="D20" s="2"/>
      <c r="E20" s="2"/>
    </row>
    <row r="21" customFormat="false" ht="15" hidden="false" customHeight="false" outlineLevel="0" collapsed="false">
      <c r="A21" s="2"/>
      <c r="B21" s="5" t="s">
        <v>2435</v>
      </c>
      <c r="C21" s="79" t="n">
        <f aca="false">-Entrées!$C$81/1000</f>
        <v>2.778</v>
      </c>
      <c r="D21" s="24" t="s">
        <v>130</v>
      </c>
      <c r="E21" s="24" t="s">
        <v>365</v>
      </c>
    </row>
    <row r="22" customFormat="false" ht="15" hidden="false" customHeight="false" outlineLevel="0" collapsed="false">
      <c r="A22" s="2"/>
      <c r="B22" s="5" t="s">
        <v>2436</v>
      </c>
      <c r="C22" s="79" t="n">
        <f aca="false">$C$17*4</f>
        <v>2</v>
      </c>
      <c r="D22" s="24" t="s">
        <v>130</v>
      </c>
      <c r="E22" s="24" t="s">
        <v>2437</v>
      </c>
    </row>
    <row r="23" customFormat="false" ht="15" hidden="false" customHeight="false" outlineLevel="0" collapsed="false">
      <c r="A23" s="2"/>
      <c r="B23" s="22" t="s">
        <v>2438</v>
      </c>
      <c r="C23" s="80" t="n">
        <f aca="false">C21/$C$17</f>
        <v>5.556</v>
      </c>
      <c r="D23" s="24" t="s">
        <v>2439</v>
      </c>
      <c r="E23" s="24"/>
    </row>
    <row r="24" customFormat="false" ht="15" hidden="false" customHeight="false" outlineLevel="0" collapsed="false">
      <c r="A24" s="2"/>
      <c r="B24" s="5" t="s">
        <v>2440</v>
      </c>
      <c r="C24" s="78" t="n">
        <f aca="false">Entrées!$C$30</f>
        <v>2</v>
      </c>
      <c r="D24" s="24" t="s">
        <v>130</v>
      </c>
      <c r="E24" s="24" t="s">
        <v>197</v>
      </c>
    </row>
    <row r="25" customFormat="false" ht="15" hidden="false" customHeight="false" outlineLevel="0" collapsed="false">
      <c r="A25" s="2"/>
      <c r="B25" s="22" t="s">
        <v>2441</v>
      </c>
      <c r="C25" s="51" t="n">
        <f aca="false">C21-C24</f>
        <v>0.778</v>
      </c>
      <c r="D25" s="24" t="s">
        <v>130</v>
      </c>
      <c r="E25" s="24"/>
    </row>
    <row r="26" customFormat="false" ht="15" hidden="false" customHeight="false" outlineLevel="0" collapsed="false">
      <c r="A26" s="2"/>
      <c r="B26" s="5" t="s">
        <v>2442</v>
      </c>
      <c r="C26" s="81" t="n">
        <f aca="false">C25/$C$17</f>
        <v>1.556</v>
      </c>
      <c r="D26" s="24" t="s">
        <v>2439</v>
      </c>
      <c r="E26" s="24"/>
    </row>
    <row r="27" customFormat="false" ht="15" hidden="false" customHeight="false" outlineLevel="0" collapsed="false">
      <c r="A27" s="2"/>
      <c r="B27" s="5" t="s">
        <v>2443</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2308</v>
      </c>
      <c r="B30" s="22" t="s">
        <v>2444</v>
      </c>
      <c r="C30" s="2"/>
      <c r="D30" s="2"/>
      <c r="E30" s="2"/>
    </row>
    <row r="31" customFormat="false" ht="15" hidden="false" customHeight="false" outlineLevel="0" collapsed="false">
      <c r="A31" s="21"/>
      <c r="B31" s="21" t="s">
        <v>94</v>
      </c>
      <c r="C31" s="21" t="s">
        <v>2445</v>
      </c>
      <c r="D31" s="21" t="s">
        <v>2446</v>
      </c>
      <c r="E31" s="21" t="s">
        <v>2447</v>
      </c>
    </row>
    <row r="32" customFormat="false" ht="15" hidden="false" customHeight="false" outlineLevel="0" collapsed="false">
      <c r="A32" s="2"/>
      <c r="B32" s="5" t="s">
        <v>2448</v>
      </c>
      <c r="C32" s="78" t="n">
        <f aca="false">Entrées!$C$35</f>
        <v>0.1</v>
      </c>
      <c r="D32" s="79" t="n">
        <f aca="false">C32</f>
        <v>0.1</v>
      </c>
      <c r="E32" s="24" t="s">
        <v>213</v>
      </c>
    </row>
    <row r="33" customFormat="false" ht="15" hidden="false" customHeight="false" outlineLevel="0" collapsed="false">
      <c r="A33" s="2"/>
      <c r="B33" s="5" t="s">
        <v>2449</v>
      </c>
      <c r="C33" s="79" t="n">
        <f aca="false">Entrées!$C$36*Hypothèses!$J$12</f>
        <v>0.25</v>
      </c>
      <c r="D33" s="79" t="n">
        <f aca="false">D32+C33</f>
        <v>0.35</v>
      </c>
      <c r="E33" s="24" t="s">
        <v>2450</v>
      </c>
    </row>
    <row r="34" customFormat="false" ht="15" hidden="false" customHeight="false" outlineLevel="0" collapsed="false">
      <c r="A34" s="2"/>
      <c r="B34" s="5" t="s">
        <v>2451</v>
      </c>
      <c r="C34" s="79" t="n">
        <f aca="false">Entrées!$C$36*(1-Hypothèses!$J$12)+MAX(0,Entrées!$C$30-Entrées!$C$35-Entrées!$C$36)*Hypothèses!$J$13</f>
        <v>0.95</v>
      </c>
      <c r="D34" s="79" t="n">
        <f aca="false">D33+C34</f>
        <v>1.3</v>
      </c>
      <c r="E34" s="24" t="s">
        <v>2452</v>
      </c>
    </row>
    <row r="35" customFormat="false" ht="15" hidden="false" customHeight="false" outlineLevel="0" collapsed="false">
      <c r="A35" s="2"/>
      <c r="B35" s="5" t="s">
        <v>2453</v>
      </c>
      <c r="C35" s="79" t="n">
        <f aca="false">MAX(0,Entrées!$C$30-D34)</f>
        <v>0.7</v>
      </c>
      <c r="D35" s="79" t="n">
        <f aca="false">D34+C35</f>
        <v>2</v>
      </c>
      <c r="E35" s="24" t="s">
        <v>2454</v>
      </c>
    </row>
    <row r="36" customFormat="false" ht="15" hidden="false" customHeight="false" outlineLevel="0" collapsed="false">
      <c r="A36" s="2"/>
      <c r="B36" s="22" t="s">
        <v>2455</v>
      </c>
      <c r="C36" s="45" t="n">
        <f aca="false">(C33+C34)*1000/Hypothèses!$J$14</f>
        <v>120</v>
      </c>
      <c r="D36" s="24" t="s">
        <v>103</v>
      </c>
      <c r="E36" s="24" t="s">
        <v>2456</v>
      </c>
    </row>
    <row r="37" customFormat="false" ht="15" hidden="false" customHeight="false" outlineLevel="0" collapsed="false">
      <c r="A37" s="2"/>
      <c r="B37" s="2"/>
      <c r="C37" s="2"/>
      <c r="D37" s="2"/>
      <c r="E37" s="2"/>
    </row>
    <row r="38" customFormat="false" ht="15" hidden="false" customHeight="false" outlineLevel="0" collapsed="false">
      <c r="A38" s="22" t="s">
        <v>2457</v>
      </c>
      <c r="B38" s="22" t="s">
        <v>2458</v>
      </c>
      <c r="C38" s="2"/>
      <c r="D38" s="2"/>
      <c r="E38" s="2"/>
    </row>
    <row r="39" customFormat="false" ht="15" hidden="false" customHeight="false" outlineLevel="0" collapsed="false">
      <c r="A39" s="21"/>
      <c r="B39" s="21" t="s">
        <v>2326</v>
      </c>
      <c r="C39" s="21" t="s">
        <v>130</v>
      </c>
      <c r="D39" s="21"/>
      <c r="E39" s="21" t="s">
        <v>2048</v>
      </c>
    </row>
    <row r="40" customFormat="false" ht="15" hidden="false" customHeight="false" outlineLevel="0" collapsed="false">
      <c r="A40" s="2"/>
      <c r="B40" s="5" t="s">
        <v>2459</v>
      </c>
      <c r="C40" s="78" t="n">
        <f aca="false">Entrées!$C$117</f>
        <v>4</v>
      </c>
      <c r="D40" s="24"/>
      <c r="E40" s="24" t="s">
        <v>465</v>
      </c>
    </row>
    <row r="41" customFormat="false" ht="15" hidden="false" customHeight="false" outlineLevel="0" collapsed="false">
      <c r="A41" s="2"/>
      <c r="B41" s="5" t="s">
        <v>2460</v>
      </c>
      <c r="C41" s="78" t="n">
        <f aca="false">Entrées!$C$118</f>
        <v>2</v>
      </c>
      <c r="D41" s="24"/>
      <c r="E41" s="24" t="s">
        <v>468</v>
      </c>
    </row>
    <row r="42" customFormat="false" ht="15" hidden="false" customHeight="false" outlineLevel="0" collapsed="false">
      <c r="A42" s="2"/>
      <c r="B42" s="5" t="s">
        <v>2461</v>
      </c>
      <c r="C42" s="79" t="n">
        <f aca="false">-Entrées!$C$126/1000</f>
        <v>-0.397</v>
      </c>
      <c r="D42" s="24"/>
      <c r="E42" s="24" t="s">
        <v>2462</v>
      </c>
    </row>
    <row r="43" customFormat="false" ht="15" hidden="false" customHeight="false" outlineLevel="0" collapsed="false">
      <c r="A43" s="2"/>
      <c r="B43" s="5" t="s">
        <v>2463</v>
      </c>
      <c r="C43" s="79" t="n">
        <f aca="false">-Entrées!$C$69/1000</f>
        <v>2.301</v>
      </c>
      <c r="D43" s="24"/>
      <c r="E43" s="24" t="s">
        <v>2464</v>
      </c>
    </row>
    <row r="44" customFormat="false" ht="15" hidden="false" customHeight="false" outlineLevel="0" collapsed="false">
      <c r="A44" s="2"/>
      <c r="B44" s="5" t="s">
        <v>2465</v>
      </c>
      <c r="C44" s="79" t="n">
        <f aca="false">-Entrées!$C$80/1000</f>
        <v>2.869</v>
      </c>
      <c r="D44" s="24"/>
      <c r="E44" s="24" t="s">
        <v>2466</v>
      </c>
    </row>
    <row r="45" customFormat="false" ht="15" hidden="false" customHeight="false" outlineLevel="0" collapsed="false">
      <c r="A45" s="2"/>
      <c r="B45" s="22" t="s">
        <v>2467</v>
      </c>
      <c r="C45" s="51" t="n">
        <f aca="false">SUM(C42:C44)</f>
        <v>4.773</v>
      </c>
      <c r="D45" s="24"/>
      <c r="E45" s="24" t="s">
        <v>2468</v>
      </c>
    </row>
    <row r="46" customFormat="false" ht="15" hidden="false" customHeight="false" outlineLevel="0" collapsed="false">
      <c r="A46" s="2"/>
      <c r="B46" s="22" t="s">
        <v>2469</v>
      </c>
      <c r="C46" s="51" t="n">
        <f aca="false">C45-C40</f>
        <v>0.773000000000001</v>
      </c>
      <c r="D46" s="24"/>
      <c r="E46" s="24" t="s">
        <v>2470</v>
      </c>
    </row>
    <row r="47" customFormat="false" ht="15" hidden="false" customHeight="false" outlineLevel="0" collapsed="false">
      <c r="A47" s="2"/>
      <c r="B47" s="5" t="s">
        <v>2471</v>
      </c>
      <c r="C47" s="78" t="n">
        <f aca="false">Entrées!$C$119</f>
        <v>4</v>
      </c>
      <c r="D47" s="24"/>
      <c r="E47" s="24" t="s">
        <v>470</v>
      </c>
    </row>
    <row r="48" customFormat="false" ht="15" hidden="false" customHeight="false" outlineLevel="0" collapsed="false">
      <c r="A48" s="2"/>
      <c r="B48" s="5" t="s">
        <v>2472</v>
      </c>
      <c r="C48" s="78" t="n">
        <f aca="false">Entrées!$C$121</f>
        <v>8.5</v>
      </c>
      <c r="D48" s="24"/>
      <c r="E48" s="24" t="s">
        <v>475</v>
      </c>
    </row>
    <row r="49" customFormat="false" ht="15" hidden="false" customHeight="false" outlineLevel="0" collapsed="false">
      <c r="A49" s="2"/>
      <c r="B49" s="5" t="s">
        <v>2473</v>
      </c>
      <c r="C49" s="66" t="n">
        <f aca="false">Entrées!$C$122/100</f>
        <v>0.9</v>
      </c>
      <c r="D49" s="24" t="s">
        <v>299</v>
      </c>
      <c r="E49" s="24" t="s">
        <v>479</v>
      </c>
    </row>
    <row r="50" customFormat="false" ht="15" hidden="false" customHeight="false" outlineLevel="0" collapsed="false">
      <c r="A50" s="2"/>
      <c r="B50" s="5" t="s">
        <v>2474</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2475</v>
      </c>
      <c r="B53" s="22" t="s">
        <v>2476</v>
      </c>
      <c r="C53" s="2"/>
      <c r="D53" s="2"/>
      <c r="E53" s="2"/>
    </row>
    <row r="54" customFormat="false" ht="42" hidden="false" customHeight="true" outlineLevel="0" collapsed="false">
      <c r="A54" s="2"/>
      <c r="B54" s="69" t="s">
        <v>2477</v>
      </c>
      <c r="C54" s="69"/>
      <c r="D54" s="69"/>
      <c r="E54" s="69"/>
    </row>
    <row r="55" customFormat="false" ht="15" hidden="false" customHeight="false" outlineLevel="0" collapsed="false">
      <c r="A55" s="21"/>
      <c r="B55" s="21" t="s">
        <v>2478</v>
      </c>
      <c r="C55" s="21" t="s">
        <v>2479</v>
      </c>
      <c r="D55" s="21" t="s">
        <v>2480</v>
      </c>
      <c r="E55" s="21" t="s">
        <v>2048</v>
      </c>
    </row>
    <row r="56" customFormat="false" ht="15" hidden="false" customHeight="false" outlineLevel="0" collapsed="false">
      <c r="A56" s="2"/>
      <c r="B56" s="5" t="s">
        <v>2481</v>
      </c>
      <c r="C56" s="61" t="n">
        <f aca="false">Entrées!$C$455</f>
        <v>8547</v>
      </c>
      <c r="D56" s="66" t="n">
        <f aca="false">C56/Entrées!$C$453</f>
        <v>0.192517343904856</v>
      </c>
      <c r="E56" s="24" t="s">
        <v>1412</v>
      </c>
    </row>
    <row r="57" customFormat="false" ht="15" hidden="false" customHeight="false" outlineLevel="0" collapsed="false">
      <c r="A57" s="2"/>
      <c r="B57" s="5" t="s">
        <v>2482</v>
      </c>
      <c r="C57" s="61" t="n">
        <f aca="false">Entrées!$C$456</f>
        <v>4683</v>
      </c>
      <c r="D57" s="66" t="n">
        <f aca="false">C57/Entrées!$C$453</f>
        <v>0.10548247589873</v>
      </c>
      <c r="E57" s="24" t="s">
        <v>1415</v>
      </c>
    </row>
    <row r="58" customFormat="false" ht="15" hidden="false" customHeight="false" outlineLevel="0" collapsed="false">
      <c r="A58" s="2"/>
      <c r="B58" s="5" t="s">
        <v>2483</v>
      </c>
      <c r="C58" s="61" t="n">
        <f aca="false">Entrées!$C$457</f>
        <v>3097</v>
      </c>
      <c r="D58" s="66" t="n">
        <f aca="false">C58/Entrées!$C$453</f>
        <v>0.0697585368051176</v>
      </c>
      <c r="E58" s="24" t="s">
        <v>1418</v>
      </c>
    </row>
    <row r="59" customFormat="false" ht="15" hidden="false" customHeight="false" outlineLevel="0" collapsed="false">
      <c r="A59" s="2"/>
      <c r="B59" s="5" t="s">
        <v>2484</v>
      </c>
      <c r="C59" s="61" t="n">
        <f aca="false">Entrées!$C$458</f>
        <v>3035</v>
      </c>
      <c r="D59" s="66" t="n">
        <f aca="false">C59/Entrées!$C$453</f>
        <v>0.0683620145959095</v>
      </c>
      <c r="E59" s="24" t="s">
        <v>1421</v>
      </c>
    </row>
    <row r="60" customFormat="false" ht="15" hidden="false" customHeight="false" outlineLevel="0" collapsed="false">
      <c r="A60" s="2"/>
      <c r="B60" s="5" t="s">
        <v>2485</v>
      </c>
      <c r="C60" s="61" t="n">
        <f aca="false">Entrées!$C$459</f>
        <v>3007</v>
      </c>
      <c r="D60" s="66" t="n">
        <f aca="false">C60/Entrées!$C$453</f>
        <v>0.0677313271465898</v>
      </c>
      <c r="E60" s="24" t="s">
        <v>1424</v>
      </c>
    </row>
    <row r="61" customFormat="false" ht="15" hidden="false" customHeight="false" outlineLevel="0" collapsed="false">
      <c r="A61" s="2"/>
      <c r="B61" s="5" t="s">
        <v>2486</v>
      </c>
      <c r="C61" s="61" t="n">
        <f aca="false">Entrées!$C$460</f>
        <v>2978</v>
      </c>
      <c r="D61" s="66" t="n">
        <f aca="false">C61/Entrées!$C$453</f>
        <v>0.0670781151455086</v>
      </c>
      <c r="E61" s="24" t="s">
        <v>1427</v>
      </c>
    </row>
    <row r="62" customFormat="false" ht="15" hidden="false" customHeight="false" outlineLevel="0" collapsed="false">
      <c r="A62" s="2"/>
      <c r="B62" s="5" t="s">
        <v>2487</v>
      </c>
      <c r="C62" s="61" t="n">
        <f aca="false">Entrées!$C$461</f>
        <v>2165</v>
      </c>
      <c r="D62" s="66" t="n">
        <f aca="false">C62/Entrées!$C$453</f>
        <v>0.0487656545634742</v>
      </c>
      <c r="E62" s="24" t="s">
        <v>1430</v>
      </c>
    </row>
    <row r="63" customFormat="false" ht="15" hidden="false" customHeight="false" outlineLevel="0" collapsed="false">
      <c r="A63" s="2"/>
      <c r="B63" s="5" t="s">
        <v>2488</v>
      </c>
      <c r="C63" s="61" t="n">
        <f aca="false">Entrées!$C$462</f>
        <v>2023</v>
      </c>
      <c r="D63" s="66" t="n">
        <f aca="false">C63/Entrées!$C$453</f>
        <v>0.0455671682133526</v>
      </c>
      <c r="E63" s="24" t="s">
        <v>1433</v>
      </c>
    </row>
    <row r="64" customFormat="false" ht="15" hidden="false" customHeight="false" outlineLevel="0" collapsed="false">
      <c r="A64" s="2"/>
      <c r="B64" s="5" t="s">
        <v>2489</v>
      </c>
      <c r="C64" s="61" t="n">
        <f aca="false">Entrées!$C$463</f>
        <v>1160</v>
      </c>
      <c r="D64" s="66" t="n">
        <f aca="false">C64/Entrées!$C$453</f>
        <v>0.0261284800432471</v>
      </c>
      <c r="E64" s="24" t="s">
        <v>1436</v>
      </c>
    </row>
    <row r="65" customFormat="false" ht="15" hidden="false" customHeight="false" outlineLevel="0" collapsed="false">
      <c r="A65" s="2"/>
      <c r="B65" s="5" t="s">
        <v>2490</v>
      </c>
      <c r="C65" s="61" t="n">
        <f aca="false">Entrées!$C$464</f>
        <v>1081</v>
      </c>
      <c r="D65" s="66" t="n">
        <f aca="false">C65/Entrées!$C$453</f>
        <v>0.024349040454095</v>
      </c>
      <c r="E65" s="24" t="s">
        <v>1439</v>
      </c>
    </row>
    <row r="66" customFormat="false" ht="15" hidden="false" customHeight="false" outlineLevel="0" collapsed="false">
      <c r="A66" s="2"/>
      <c r="B66" s="5" t="s">
        <v>2491</v>
      </c>
      <c r="C66" s="61" t="n">
        <f aca="false">Entrées!$C$466</f>
        <v>1070</v>
      </c>
      <c r="D66" s="66" t="n">
        <f aca="false">C66/Entrées!$C$453</f>
        <v>0.0241012703847193</v>
      </c>
      <c r="E66" s="24" t="s">
        <v>1444</v>
      </c>
    </row>
    <row r="67" customFormat="false" ht="15" hidden="false" customHeight="false" outlineLevel="0" collapsed="false">
      <c r="A67" s="2"/>
      <c r="B67" s="5" t="s">
        <v>2492</v>
      </c>
      <c r="C67" s="61" t="n">
        <f aca="false">Entrées!$C$468</f>
        <v>932</v>
      </c>
      <c r="D67" s="66" t="n">
        <f aca="false">C67/Entrées!$C$453</f>
        <v>0.0209928822416434</v>
      </c>
      <c r="E67" s="24" t="s">
        <v>1449</v>
      </c>
    </row>
    <row r="68" customFormat="false" ht="15" hidden="false" customHeight="false" outlineLevel="0" collapsed="false">
      <c r="A68" s="2"/>
      <c r="B68" s="5" t="s">
        <v>2493</v>
      </c>
      <c r="C68" s="61" t="n">
        <f aca="false">Entrées!$C$470</f>
        <v>908</v>
      </c>
      <c r="D68" s="66" t="n">
        <f aca="false">C68/Entrées!$C$453</f>
        <v>0.0204522929993693</v>
      </c>
      <c r="E68" s="24" t="s">
        <v>1454</v>
      </c>
    </row>
    <row r="69" customFormat="false" ht="15" hidden="false" customHeight="false" outlineLevel="0" collapsed="false">
      <c r="A69" s="2"/>
      <c r="B69" s="5" t="s">
        <v>2494</v>
      </c>
      <c r="C69" s="61" t="n">
        <f aca="false">Entrées!$C$471</f>
        <v>807</v>
      </c>
      <c r="D69" s="66" t="n">
        <f aca="false">C69/Entrées!$C$453</f>
        <v>0.0181773132714659</v>
      </c>
      <c r="E69" s="24" t="s">
        <v>1457</v>
      </c>
    </row>
    <row r="70" customFormat="false" ht="15" hidden="false" customHeight="false" outlineLevel="0" collapsed="false">
      <c r="A70" s="2"/>
      <c r="B70" s="5" t="s">
        <v>2495</v>
      </c>
      <c r="C70" s="61" t="n">
        <f aca="false">Entrées!$C$472</f>
        <v>609</v>
      </c>
      <c r="D70" s="66" t="n">
        <f aca="false">C70/Entrées!$C$453</f>
        <v>0.0137174520227047</v>
      </c>
      <c r="E70" s="24" t="s">
        <v>1460</v>
      </c>
    </row>
    <row r="71" customFormat="false" ht="15" hidden="false" customHeight="false" outlineLevel="0" collapsed="false">
      <c r="A71" s="2"/>
      <c r="B71" s="5" t="s">
        <v>2496</v>
      </c>
      <c r="C71" s="61" t="n">
        <f aca="false">Entrées!$C$473</f>
        <v>581</v>
      </c>
      <c r="D71" s="66" t="n">
        <f aca="false">C71/Entrées!$C$453</f>
        <v>0.013086764573385</v>
      </c>
      <c r="E71" s="24" t="s">
        <v>1463</v>
      </c>
    </row>
    <row r="72" customFormat="false" ht="15" hidden="false" customHeight="false" outlineLevel="0" collapsed="false">
      <c r="A72" s="2"/>
      <c r="B72" s="5" t="s">
        <v>2497</v>
      </c>
      <c r="C72" s="61" t="n">
        <f aca="false">Entrées!$C$474</f>
        <v>504</v>
      </c>
      <c r="D72" s="66" t="n">
        <f aca="false">C72/Entrées!$C$453</f>
        <v>0.0113523740877557</v>
      </c>
      <c r="E72" s="24" t="s">
        <v>1466</v>
      </c>
    </row>
    <row r="73" customFormat="false" ht="15" hidden="false" customHeight="false" outlineLevel="0" collapsed="false">
      <c r="A73" s="2"/>
      <c r="B73" s="5" t="s">
        <v>2498</v>
      </c>
      <c r="C73" s="61" t="n">
        <f aca="false">Entrées!$C$475</f>
        <v>7207</v>
      </c>
      <c r="D73" s="66" t="n">
        <f aca="false">C73/Entrées!$C$453</f>
        <v>0.162334444544554</v>
      </c>
      <c r="E73" s="24" t="s">
        <v>1469</v>
      </c>
    </row>
    <row r="74" customFormat="false" ht="15" hidden="false" customHeight="false" outlineLevel="0" collapsed="false">
      <c r="A74" s="2"/>
      <c r="B74" s="22" t="s">
        <v>2499</v>
      </c>
      <c r="C74" s="45" t="n">
        <f aca="false">SUM(C56:C73)</f>
        <v>44394</v>
      </c>
      <c r="D74" s="24" t="s">
        <v>103</v>
      </c>
      <c r="E74" s="24"/>
    </row>
    <row r="75" customFormat="false" ht="15" hidden="false" customHeight="false" outlineLevel="0" collapsed="false">
      <c r="A75" s="2"/>
      <c r="B75" s="5" t="s">
        <v>2500</v>
      </c>
      <c r="C75" s="61" t="n">
        <f aca="false">Entrées!$C$453</f>
        <v>44396</v>
      </c>
      <c r="D75" s="24" t="s">
        <v>103</v>
      </c>
      <c r="E75" s="24" t="s">
        <v>1407</v>
      </c>
    </row>
    <row r="76" customFormat="false" ht="15" hidden="false" customHeight="false" outlineLevel="0" collapsed="false">
      <c r="A76" s="2"/>
      <c r="B76" s="5" t="s">
        <v>2501</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2502</v>
      </c>
      <c r="C78" s="21" t="s">
        <v>92</v>
      </c>
      <c r="D78" s="21" t="s">
        <v>93</v>
      </c>
      <c r="E78" s="21" t="s">
        <v>2129</v>
      </c>
    </row>
    <row r="79" customFormat="false" ht="15" hidden="false" customHeight="false" outlineLevel="0" collapsed="false">
      <c r="A79" s="2"/>
      <c r="B79" s="5" t="s">
        <v>2503</v>
      </c>
      <c r="C79" s="64" t="n">
        <f aca="false">Entrées!$C$30*1000</f>
        <v>2000</v>
      </c>
      <c r="D79" s="24" t="s">
        <v>103</v>
      </c>
      <c r="E79" s="24" t="s">
        <v>197</v>
      </c>
    </row>
    <row r="80" customFormat="false" ht="15" hidden="false" customHeight="false" outlineLevel="0" collapsed="false">
      <c r="A80" s="2"/>
      <c r="B80" s="22" t="s">
        <v>2504</v>
      </c>
      <c r="C80" s="45" t="n">
        <f aca="false">Cessions!$C$79/Hypothèses!$J$14</f>
        <v>200</v>
      </c>
      <c r="D80" s="24" t="s">
        <v>103</v>
      </c>
      <c r="E80" s="24" t="s">
        <v>2505</v>
      </c>
    </row>
    <row r="81" customFormat="false" ht="15" hidden="false" customHeight="false" outlineLevel="0" collapsed="false">
      <c r="A81" s="2"/>
      <c r="B81" s="5" t="s">
        <v>2506</v>
      </c>
      <c r="C81" s="64" t="n">
        <f aca="false">Cessions!$C$80/(Entrées!$C$431/100)</f>
        <v>1257.86163522013</v>
      </c>
      <c r="D81" s="24" t="s">
        <v>103</v>
      </c>
      <c r="E81" s="24" t="s">
        <v>2507</v>
      </c>
    </row>
    <row r="82" customFormat="false" ht="15" hidden="false" customHeight="false" outlineLevel="0" collapsed="false">
      <c r="A82" s="2"/>
      <c r="B82" s="22" t="s">
        <v>2508</v>
      </c>
      <c r="C82" s="41" t="n">
        <f aca="false">Cessions!$C$81/Entrées!$C$453</f>
        <v>0.0283327695112201</v>
      </c>
      <c r="D82" s="24" t="s">
        <v>299</v>
      </c>
      <c r="E82" s="24"/>
    </row>
    <row r="83" customFormat="false" ht="15" hidden="false" customHeight="false" outlineLevel="0" collapsed="false">
      <c r="A83" s="2"/>
      <c r="B83" s="5" t="s">
        <v>2509</v>
      </c>
      <c r="C83" s="61" t="n">
        <f aca="false">Entrées!$C$436</f>
        <v>5383</v>
      </c>
      <c r="D83" s="24" t="s">
        <v>103</v>
      </c>
      <c r="E83" s="24" t="s">
        <v>1356</v>
      </c>
    </row>
    <row r="84" customFormat="false" ht="15" hidden="false" customHeight="false" outlineLevel="0" collapsed="false">
      <c r="A84" s="2"/>
      <c r="B84" s="5" t="s">
        <v>2510</v>
      </c>
      <c r="C84" s="61" t="n">
        <f aca="false">Entrées!$C$446</f>
        <v>1566</v>
      </c>
      <c r="D84" s="24" t="s">
        <v>103</v>
      </c>
      <c r="E84" s="24" t="s">
        <v>1386</v>
      </c>
    </row>
    <row r="85" customFormat="false" ht="15" hidden="false" customHeight="false" outlineLevel="0" collapsed="false">
      <c r="A85" s="2"/>
      <c r="B85" s="5" t="s">
        <v>2511</v>
      </c>
      <c r="C85" s="61" t="n">
        <f aca="false">Entrées!$C$440</f>
        <v>2729</v>
      </c>
      <c r="D85" s="24" t="s">
        <v>103</v>
      </c>
      <c r="E85" s="24" t="s">
        <v>1368</v>
      </c>
    </row>
    <row r="86" customFormat="false" ht="15" hidden="false" customHeight="false" outlineLevel="0" collapsed="false">
      <c r="A86" s="2"/>
      <c r="B86" s="5" t="s">
        <v>2512</v>
      </c>
      <c r="C86" s="61" t="n">
        <f aca="false">Entrées!$C$443</f>
        <v>1087</v>
      </c>
      <c r="D86" s="24" t="s">
        <v>103</v>
      </c>
      <c r="E86" s="24" t="s">
        <v>1377</v>
      </c>
    </row>
    <row r="87" customFormat="false" ht="15" hidden="false" customHeight="false" outlineLevel="0" collapsed="false">
      <c r="A87" s="2"/>
      <c r="B87" s="22" t="s">
        <v>2513</v>
      </c>
      <c r="C87" s="41" t="n">
        <f aca="false">Cessions!$C$80/Cessions!$C$83</f>
        <v>0.0371540033438603</v>
      </c>
      <c r="D87" s="24" t="s">
        <v>299</v>
      </c>
      <c r="E87" s="24"/>
    </row>
    <row r="88" customFormat="false" ht="15" hidden="false" customHeight="false" outlineLevel="0" collapsed="false">
      <c r="A88" s="2"/>
      <c r="B88" s="22" t="s">
        <v>2514</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2515</v>
      </c>
      <c r="C90" s="21" t="s">
        <v>2516</v>
      </c>
      <c r="D90" s="21" t="s">
        <v>2387</v>
      </c>
      <c r="E90" s="21" t="s">
        <v>2517</v>
      </c>
    </row>
    <row r="91" customFormat="false" ht="15" hidden="false" customHeight="false" outlineLevel="0" collapsed="false">
      <c r="A91" s="2"/>
      <c r="B91" s="5" t="s">
        <v>2518</v>
      </c>
      <c r="C91" s="82" t="n">
        <v>32</v>
      </c>
      <c r="D91" s="53" t="s">
        <v>2519</v>
      </c>
      <c r="E91" s="24" t="s">
        <v>2520</v>
      </c>
    </row>
    <row r="92" customFormat="false" ht="15" hidden="false" customHeight="false" outlineLevel="0" collapsed="false">
      <c r="A92" s="2"/>
      <c r="B92" s="5" t="s">
        <v>2521</v>
      </c>
      <c r="C92" s="82" t="n">
        <v>102</v>
      </c>
      <c r="D92" s="25" t="n">
        <v>2022</v>
      </c>
      <c r="E92" s="24" t="s">
        <v>2522</v>
      </c>
    </row>
    <row r="93" customFormat="false" ht="15" hidden="false" customHeight="false" outlineLevel="0" collapsed="false">
      <c r="A93" s="2"/>
      <c r="B93" s="5" t="s">
        <v>2523</v>
      </c>
      <c r="C93" s="82" t="n">
        <v>141</v>
      </c>
      <c r="D93" s="25" t="n">
        <v>2022</v>
      </c>
      <c r="E93" s="24" t="s">
        <v>2524</v>
      </c>
    </row>
    <row r="94" customFormat="false" ht="15" hidden="false" customHeight="false" outlineLevel="0" collapsed="false">
      <c r="A94" s="2"/>
      <c r="B94" s="5" t="s">
        <v>2525</v>
      </c>
      <c r="C94" s="82" t="n">
        <v>27</v>
      </c>
      <c r="D94" s="25" t="n">
        <v>2022</v>
      </c>
      <c r="E94" s="24" t="s">
        <v>2526</v>
      </c>
    </row>
    <row r="95" customFormat="false" ht="15" hidden="false" customHeight="false" outlineLevel="0" collapsed="false">
      <c r="A95" s="2"/>
      <c r="B95" s="5" t="s">
        <v>2527</v>
      </c>
      <c r="C95" s="82" t="n">
        <v>49</v>
      </c>
      <c r="D95" s="25" t="n">
        <v>2023</v>
      </c>
      <c r="E95" s="24" t="s">
        <v>2528</v>
      </c>
    </row>
    <row r="96" customFormat="false" ht="15" hidden="false" customHeight="false" outlineLevel="0" collapsed="false">
      <c r="A96" s="2"/>
      <c r="B96" s="5" t="s">
        <v>2529</v>
      </c>
      <c r="C96" s="82" t="n">
        <v>15</v>
      </c>
      <c r="D96" s="25" t="n">
        <v>2023</v>
      </c>
      <c r="E96" s="24" t="s">
        <v>2530</v>
      </c>
    </row>
    <row r="97" customFormat="false" ht="15" hidden="false" customHeight="false" outlineLevel="0" collapsed="false">
      <c r="A97" s="2"/>
      <c r="B97" s="5" t="s">
        <v>2531</v>
      </c>
      <c r="C97" s="82" t="n">
        <v>84</v>
      </c>
      <c r="D97" s="25" t="n">
        <v>2023</v>
      </c>
      <c r="E97" s="24" t="s">
        <v>2532</v>
      </c>
    </row>
    <row r="98" customFormat="false" ht="15" hidden="false" customHeight="false" outlineLevel="0" collapsed="false">
      <c r="A98" s="2"/>
      <c r="B98" s="5" t="s">
        <v>2533</v>
      </c>
      <c r="C98" s="82" t="n">
        <v>74</v>
      </c>
      <c r="D98" s="25" t="n">
        <v>2023</v>
      </c>
      <c r="E98" s="24" t="s">
        <v>2534</v>
      </c>
    </row>
    <row r="99" customFormat="false" ht="15" hidden="false" customHeight="false" outlineLevel="0" collapsed="false">
      <c r="A99" s="2"/>
      <c r="B99" s="5" t="s">
        <v>2535</v>
      </c>
      <c r="C99" s="82" t="n">
        <v>149</v>
      </c>
      <c r="D99" s="25" t="n">
        <v>2024</v>
      </c>
      <c r="E99" s="24" t="s">
        <v>2536</v>
      </c>
    </row>
    <row r="100" customFormat="false" ht="15" hidden="false" customHeight="false" outlineLevel="0" collapsed="false">
      <c r="A100" s="2"/>
      <c r="B100" s="5" t="s">
        <v>2537</v>
      </c>
      <c r="C100" s="82" t="n">
        <v>580</v>
      </c>
      <c r="D100" s="25" t="n">
        <v>2024</v>
      </c>
      <c r="E100" s="24" t="s">
        <v>2538</v>
      </c>
    </row>
    <row r="101" customFormat="false" ht="15" hidden="false" customHeight="false" outlineLevel="0" collapsed="false">
      <c r="A101" s="2"/>
      <c r="B101" s="5" t="s">
        <v>2539</v>
      </c>
      <c r="C101" s="82" t="n">
        <v>198</v>
      </c>
      <c r="D101" s="25" t="n">
        <v>2024</v>
      </c>
      <c r="E101" s="24" t="s">
        <v>2540</v>
      </c>
    </row>
    <row r="102" customFormat="false" ht="15" hidden="false" customHeight="false" outlineLevel="0" collapsed="false">
      <c r="A102" s="2"/>
      <c r="B102" s="5" t="s">
        <v>2541</v>
      </c>
      <c r="C102" s="82" t="n">
        <v>79</v>
      </c>
      <c r="D102" s="25" t="n">
        <v>2024</v>
      </c>
      <c r="E102" s="24" t="s">
        <v>2542</v>
      </c>
    </row>
    <row r="103" customFormat="false" ht="15" hidden="false" customHeight="false" outlineLevel="0" collapsed="false">
      <c r="A103" s="2"/>
      <c r="B103" s="5" t="s">
        <v>2543</v>
      </c>
      <c r="C103" s="82" t="n">
        <v>14</v>
      </c>
      <c r="D103" s="25" t="n">
        <v>2026</v>
      </c>
      <c r="E103" s="24" t="s">
        <v>2544</v>
      </c>
    </row>
    <row r="104" customFormat="false" ht="15" hidden="false" customHeight="false" outlineLevel="0" collapsed="false">
      <c r="A104" s="2"/>
      <c r="B104" s="5" t="s">
        <v>2545</v>
      </c>
      <c r="C104" s="82" t="n">
        <v>41</v>
      </c>
      <c r="D104" s="25" t="n">
        <v>2026</v>
      </c>
      <c r="E104" s="24" t="s">
        <v>2546</v>
      </c>
    </row>
    <row r="105" customFormat="false" ht="15" hidden="false" customHeight="false" outlineLevel="0" collapsed="false">
      <c r="A105" s="2"/>
      <c r="B105" s="22" t="s">
        <v>2547</v>
      </c>
      <c r="C105" s="45" t="n">
        <f aca="false">SUM(C91:C104)</f>
        <v>1585</v>
      </c>
      <c r="D105" s="24" t="s">
        <v>103</v>
      </c>
      <c r="E105" s="24" t="s">
        <v>2548</v>
      </c>
    </row>
    <row r="106" customFormat="false" ht="15" hidden="false" customHeight="false" outlineLevel="0" collapsed="false">
      <c r="A106" s="2"/>
      <c r="B106" s="5" t="s">
        <v>2549</v>
      </c>
      <c r="C106" s="83" t="n">
        <f aca="false">COUNT(C91:C104)</f>
        <v>14</v>
      </c>
      <c r="D106" s="24"/>
      <c r="E106" s="24"/>
    </row>
    <row r="107" customFormat="false" ht="15" hidden="false" customHeight="false" outlineLevel="0" collapsed="false">
      <c r="A107" s="2"/>
      <c r="B107" s="5" t="s">
        <v>2550</v>
      </c>
      <c r="C107" s="64" t="n">
        <f aca="false">AVERAGE(C91:C104)</f>
        <v>113.214285714286</v>
      </c>
      <c r="D107" s="24" t="s">
        <v>103</v>
      </c>
      <c r="E107" s="24"/>
    </row>
    <row r="108" customFormat="false" ht="15" hidden="false" customHeight="false" outlineLevel="0" collapsed="false">
      <c r="A108" s="2"/>
      <c r="B108" s="5" t="s">
        <v>2551</v>
      </c>
      <c r="C108" s="64" t="n">
        <f aca="false">MAX(C91:C104)</f>
        <v>580</v>
      </c>
      <c r="D108" s="24" t="s">
        <v>103</v>
      </c>
      <c r="E108" s="24"/>
    </row>
    <row r="109" customFormat="false" ht="15" hidden="false" customHeight="false" outlineLevel="0" collapsed="false">
      <c r="A109" s="2"/>
      <c r="B109" s="22" t="s">
        <v>2552</v>
      </c>
      <c r="C109" s="45" t="n">
        <f aca="false">SUMIFS(C91:C104,D91:D104,"&lt;2026")/4</f>
        <v>374.5</v>
      </c>
      <c r="D109" s="24" t="s">
        <v>103</v>
      </c>
      <c r="E109" s="24" t="s">
        <v>2553</v>
      </c>
    </row>
    <row r="110" customFormat="false" ht="15" hidden="false" customHeight="false" outlineLevel="0" collapsed="false">
      <c r="A110" s="2"/>
      <c r="B110" s="22" t="s">
        <v>2554</v>
      </c>
      <c r="C110" s="51" t="n">
        <f aca="false">Cessions!$C$79/Cessions!$C$107</f>
        <v>17.6656151419558</v>
      </c>
      <c r="D110" s="24"/>
      <c r="E110" s="24" t="s">
        <v>2555</v>
      </c>
    </row>
    <row r="111" customFormat="false" ht="15" hidden="false" customHeight="false" outlineLevel="0" collapsed="false">
      <c r="A111" s="2"/>
      <c r="B111" s="5" t="s">
        <v>2556</v>
      </c>
      <c r="C111" s="79" t="n">
        <f aca="false">Cessions!$C$79/Cessions!$C$108</f>
        <v>3.44827586206897</v>
      </c>
      <c r="D111" s="24"/>
      <c r="E111" s="24"/>
    </row>
    <row r="112" customFormat="false" ht="15" hidden="false" customHeight="false" outlineLevel="0" collapsed="false">
      <c r="A112" s="2"/>
      <c r="B112" s="22" t="s">
        <v>2557</v>
      </c>
      <c r="C112" s="51" t="n">
        <f aca="false">Cessions!$C$79/Cessions!$C$109</f>
        <v>5.34045393858478</v>
      </c>
      <c r="D112" s="24" t="s">
        <v>512</v>
      </c>
      <c r="E112" s="24" t="s">
        <v>2558</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2559</v>
      </c>
      <c r="C114" s="21" t="s">
        <v>2560</v>
      </c>
      <c r="D114" s="21" t="s">
        <v>2561</v>
      </c>
      <c r="E114" s="21" t="s">
        <v>2562</v>
      </c>
    </row>
    <row r="115" customFormat="false" ht="15" hidden="false" customHeight="false" outlineLevel="0" collapsed="false">
      <c r="A115" s="2"/>
      <c r="B115" s="5" t="s">
        <v>2563</v>
      </c>
      <c r="C115" s="64" t="n">
        <f aca="false">1000/8</f>
        <v>125</v>
      </c>
      <c r="D115" s="64" t="n">
        <f aca="false">Hypothèses!$J$26*C115</f>
        <v>375</v>
      </c>
      <c r="E115" s="45" t="n">
        <f aca="false">1000-D115</f>
        <v>625</v>
      </c>
    </row>
    <row r="116" customFormat="false" ht="15" hidden="false" customHeight="false" outlineLevel="0" collapsed="false">
      <c r="A116" s="2"/>
      <c r="B116" s="5" t="s">
        <v>2564</v>
      </c>
      <c r="C116" s="64" t="n">
        <f aca="false">1000/10</f>
        <v>100</v>
      </c>
      <c r="D116" s="64" t="n">
        <f aca="false">Hypothèses!$J$26*C116</f>
        <v>300</v>
      </c>
      <c r="E116" s="45" t="n">
        <f aca="false">1000-D116</f>
        <v>700</v>
      </c>
    </row>
    <row r="117" customFormat="false" ht="15" hidden="false" customHeight="false" outlineLevel="0" collapsed="false">
      <c r="A117" s="2"/>
      <c r="B117" s="5" t="s">
        <v>2565</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2566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2567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2568</v>
      </c>
      <c r="E4" s="84" t="s">
        <v>2569</v>
      </c>
      <c r="F4" s="84" t="s">
        <v>2570</v>
      </c>
      <c r="G4" s="84" t="s">
        <v>2571</v>
      </c>
      <c r="H4" s="84" t="s">
        <v>2572</v>
      </c>
      <c r="I4" s="84" t="s">
        <v>2573</v>
      </c>
      <c r="J4" s="84" t="s">
        <v>2574</v>
      </c>
      <c r="K4" s="84" t="s">
        <v>2575</v>
      </c>
      <c r="L4" s="84" t="s">
        <v>2576</v>
      </c>
      <c r="M4" s="84" t="s">
        <v>2577</v>
      </c>
      <c r="N4" s="84" t="s">
        <v>2578</v>
      </c>
      <c r="O4" s="84" t="s">
        <v>2579</v>
      </c>
      <c r="P4" s="84" t="s">
        <v>2580</v>
      </c>
      <c r="Q4" s="84" t="s">
        <v>2581</v>
      </c>
      <c r="R4" s="84" t="s">
        <v>2582</v>
      </c>
      <c r="S4" s="84" t="s">
        <v>2583</v>
      </c>
      <c r="T4" s="84" t="s">
        <v>2584</v>
      </c>
      <c r="U4" s="84" t="s">
        <v>2585</v>
      </c>
      <c r="V4" s="84" t="s">
        <v>2586</v>
      </c>
      <c r="W4" s="84" t="s">
        <v>2587</v>
      </c>
      <c r="X4" s="84" t="s">
        <v>2588</v>
      </c>
      <c r="Y4" s="84" t="s">
        <v>2589</v>
      </c>
      <c r="Z4" s="84" t="s">
        <v>2590</v>
      </c>
      <c r="AA4" s="84" t="s">
        <v>2591</v>
      </c>
      <c r="AB4" s="84" t="s">
        <v>2592</v>
      </c>
      <c r="AC4" s="84" t="s">
        <v>2593</v>
      </c>
      <c r="AD4" s="84" t="s">
        <v>2594</v>
      </c>
      <c r="AE4" s="84" t="s">
        <v>2595</v>
      </c>
      <c r="AF4" s="84" t="s">
        <v>2596</v>
      </c>
    </row>
    <row r="5" customFormat="false" ht="15" hidden="false" customHeight="false" outlineLevel="0" collapsed="false">
      <c r="A5" s="2"/>
      <c r="B5" s="22" t="s">
        <v>2597</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2050</v>
      </c>
      <c r="B6" s="5" t="s">
        <v>2051</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2054</v>
      </c>
      <c r="B7" s="5" t="s">
        <v>2055</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2058</v>
      </c>
      <c r="B8" s="5" t="s">
        <v>2059</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2061</v>
      </c>
      <c r="B9" s="5" t="s">
        <v>2062</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2064</v>
      </c>
      <c r="B10" s="5" t="s">
        <v>2065</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2068</v>
      </c>
      <c r="B11" s="5" t="s">
        <v>2069</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2072</v>
      </c>
      <c r="B12" s="5" t="s">
        <v>2073</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2075</v>
      </c>
      <c r="B13" s="5" t="s">
        <v>2076</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2078</v>
      </c>
      <c r="B14" s="5" t="s">
        <v>2079</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2081</v>
      </c>
      <c r="B15" s="5" t="s">
        <v>2082</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2084</v>
      </c>
      <c r="B16" s="5" t="s">
        <v>2085</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2088</v>
      </c>
      <c r="B17" s="5" t="s">
        <v>2089</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2102</v>
      </c>
      <c r="B18" s="5" t="s">
        <v>2103</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2093</v>
      </c>
      <c r="B19" s="5" t="s">
        <v>2094</v>
      </c>
      <c r="C19" s="24" t="s">
        <v>2095</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2098</v>
      </c>
      <c r="B20" s="5" t="s">
        <v>2099</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2105</v>
      </c>
      <c r="B21" s="5" t="s">
        <v>2106</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2108</v>
      </c>
      <c r="B22" s="5" t="s">
        <v>2109</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2111</v>
      </c>
      <c r="B23" s="5" t="s">
        <v>2112</v>
      </c>
      <c r="C23" s="24" t="s">
        <v>2113</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2115</v>
      </c>
      <c r="B24" s="5" t="s">
        <v>2116</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2118</v>
      </c>
      <c r="B25" s="5" t="s">
        <v>2119</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2598</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2599</v>
      </c>
      <c r="B27" s="5" t="s">
        <v>2600</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2601</v>
      </c>
      <c r="B28" s="5" t="s">
        <v>2602</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2603</v>
      </c>
      <c r="B29" s="5" t="s">
        <v>2604</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2605</v>
      </c>
      <c r="B30" s="5" t="s">
        <v>2606</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2607</v>
      </c>
      <c r="B31" s="22" t="s">
        <v>2608</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2609</v>
      </c>
      <c r="B32" s="22" t="s">
        <v>2610</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2611</v>
      </c>
      <c r="B33" s="22" t="s">
        <v>2612</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2613</v>
      </c>
      <c r="B34" s="5" t="s">
        <v>2614</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2615</v>
      </c>
      <c r="B36" s="5" t="s">
        <v>2616</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2617</v>
      </c>
      <c r="B37" s="5" t="s">
        <v>2618</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2619</v>
      </c>
      <c r="B38" s="5" t="s">
        <v>2620</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2621</v>
      </c>
      <c r="B39" s="5" t="s">
        <v>2622</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2623</v>
      </c>
      <c r="B40" s="5" t="s">
        <v>2624</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2625</v>
      </c>
      <c r="B41" s="22" t="s">
        <v>2626</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2627</v>
      </c>
      <c r="B42" s="5" t="s">
        <v>2628</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2629</v>
      </c>
      <c r="B43" s="5" t="s">
        <v>2630</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2631</v>
      </c>
      <c r="B44" s="22" t="s">
        <v>2632</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2633</v>
      </c>
      <c r="B45" s="22" t="s">
        <v>2634</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2635</v>
      </c>
      <c r="B46" s="22" t="s">
        <v>2636</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2637</v>
      </c>
      <c r="B47" s="22" t="s">
        <v>2638</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2639</v>
      </c>
      <c r="B48" s="5" t="s">
        <v>2640</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2641</v>
      </c>
      <c r="B50" s="5" t="s">
        <v>2642</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2643</v>
      </c>
      <c r="B51" s="5" t="s">
        <v>2644</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2645</v>
      </c>
      <c r="B52" s="22" t="s">
        <v>2646</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2647</v>
      </c>
      <c r="B53" s="22" t="s">
        <v>2648</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2649</v>
      </c>
      <c r="B54" s="5" t="s">
        <v>2650</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2651</v>
      </c>
      <c r="B55" s="5" t="s">
        <v>2652</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2653</v>
      </c>
      <c r="B56" s="22" t="s">
        <v>2654</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2655</v>
      </c>
      <c r="B57" s="22" t="s">
        <v>2656</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2657</v>
      </c>
      <c r="B58" s="22" t="s">
        <v>2658</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2659</v>
      </c>
      <c r="B59" s="22" t="s">
        <v>2660</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2661</v>
      </c>
      <c r="B60" s="22" t="s">
        <v>2662</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2663</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2387</v>
      </c>
      <c r="C63" s="21" t="s">
        <v>2568</v>
      </c>
      <c r="D63" s="21" t="s">
        <v>2595</v>
      </c>
      <c r="E63" s="21" t="s">
        <v>2596</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2664</v>
      </c>
      <c r="B1" s="2"/>
      <c r="C1" s="2"/>
      <c r="D1" s="2"/>
      <c r="E1" s="2"/>
      <c r="F1" s="2"/>
      <c r="G1" s="2"/>
      <c r="H1" s="2"/>
      <c r="I1" s="2"/>
      <c r="J1" s="2"/>
      <c r="K1" s="2"/>
      <c r="L1" s="2"/>
      <c r="M1" s="2"/>
      <c r="N1" s="2"/>
      <c r="O1" s="2"/>
    </row>
    <row r="2" customFormat="false" ht="15" hidden="false" customHeight="false" outlineLevel="0" collapsed="false">
      <c r="A2" s="3" t="s">
        <v>2665</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2042</v>
      </c>
      <c r="B4" s="21" t="s">
        <v>2043</v>
      </c>
      <c r="C4" s="21" t="s">
        <v>2666</v>
      </c>
      <c r="D4" s="21" t="s">
        <v>2667</v>
      </c>
      <c r="E4" s="21" t="s">
        <v>2668</v>
      </c>
      <c r="F4" s="21" t="s">
        <v>2669</v>
      </c>
      <c r="G4" s="21" t="s">
        <v>2670</v>
      </c>
      <c r="H4" s="21" t="s">
        <v>2671</v>
      </c>
      <c r="I4" s="21" t="s">
        <v>2672</v>
      </c>
      <c r="J4" s="21" t="s">
        <v>2673</v>
      </c>
      <c r="K4" s="21" t="s">
        <v>2674</v>
      </c>
      <c r="L4" s="21" t="s">
        <v>2675</v>
      </c>
      <c r="M4" s="21" t="s">
        <v>2676</v>
      </c>
      <c r="N4" s="21" t="s">
        <v>2677</v>
      </c>
      <c r="O4" s="21" t="s">
        <v>2678</v>
      </c>
    </row>
    <row r="5" customFormat="false" ht="15" hidden="false" customHeight="false" outlineLevel="0" collapsed="false">
      <c r="A5" s="24" t="s">
        <v>2050</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2054</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2058</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2061</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2064</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2068</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2072</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2075</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2078</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2081</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2084</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2088</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2102</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2679</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2680</v>
      </c>
      <c r="B21" s="2"/>
      <c r="C21" s="2"/>
      <c r="D21" s="2"/>
      <c r="E21" s="2"/>
      <c r="F21" s="2"/>
      <c r="G21" s="2"/>
      <c r="H21" s="2"/>
      <c r="I21" s="2"/>
      <c r="J21" s="2"/>
      <c r="K21" s="2"/>
      <c r="L21" s="2"/>
      <c r="M21" s="2"/>
      <c r="N21" s="2"/>
      <c r="O21" s="2"/>
    </row>
    <row r="22" customFormat="false" ht="15" hidden="false" customHeight="false" outlineLevel="0" collapsed="false">
      <c r="A22" s="21" t="s">
        <v>2681</v>
      </c>
      <c r="B22" s="21" t="s">
        <v>2043</v>
      </c>
      <c r="C22" s="21" t="s">
        <v>2670</v>
      </c>
      <c r="D22" s="21" t="s">
        <v>2671</v>
      </c>
      <c r="E22" s="21" t="s">
        <v>2672</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2682</v>
      </c>
      <c r="B37" s="2"/>
      <c r="C37" s="2"/>
      <c r="D37" s="2"/>
      <c r="E37" s="2"/>
      <c r="F37" s="2"/>
      <c r="G37" s="2"/>
      <c r="H37" s="2"/>
      <c r="I37" s="2"/>
      <c r="J37" s="2"/>
      <c r="K37" s="2"/>
      <c r="L37" s="2"/>
      <c r="M37" s="2"/>
      <c r="N37" s="2"/>
      <c r="O37" s="2"/>
    </row>
    <row r="38" customFormat="false" ht="15" hidden="false" customHeight="false" outlineLevel="0" collapsed="false">
      <c r="A38" s="21"/>
      <c r="B38" s="21" t="s">
        <v>2683</v>
      </c>
      <c r="C38" s="21" t="s">
        <v>2684</v>
      </c>
      <c r="D38" s="21"/>
      <c r="E38" s="21" t="s">
        <v>2685</v>
      </c>
      <c r="F38" s="2"/>
      <c r="G38" s="2"/>
      <c r="H38" s="2"/>
      <c r="I38" s="2"/>
      <c r="J38" s="2"/>
      <c r="K38" s="2"/>
      <c r="L38" s="2"/>
      <c r="M38" s="2"/>
      <c r="N38" s="2"/>
      <c r="O38" s="2"/>
    </row>
    <row r="39" customFormat="false" ht="15" hidden="false" customHeight="false" outlineLevel="0" collapsed="false">
      <c r="A39" s="2"/>
      <c r="B39" s="5" t="s">
        <v>2626</v>
      </c>
      <c r="C39" s="64" t="n">
        <f aca="false">100*(Hypothèses!$J$26+Hypothèses!$J$10)</f>
        <v>316.869636446462</v>
      </c>
      <c r="D39" s="2"/>
      <c r="E39" s="24" t="s">
        <v>2686</v>
      </c>
      <c r="F39" s="2"/>
      <c r="G39" s="2"/>
      <c r="H39" s="2"/>
      <c r="I39" s="2"/>
      <c r="J39" s="2"/>
      <c r="K39" s="2"/>
      <c r="L39" s="2"/>
      <c r="M39" s="2"/>
      <c r="N39" s="2"/>
      <c r="O39" s="2"/>
    </row>
    <row r="40" customFormat="false" ht="15" hidden="false" customHeight="false" outlineLevel="0" collapsed="false">
      <c r="A40" s="2"/>
      <c r="B40" s="5" t="s">
        <v>2687</v>
      </c>
      <c r="C40" s="64" t="n">
        <f aca="false">100</f>
        <v>100</v>
      </c>
      <c r="D40" s="2"/>
      <c r="E40" s="24" t="s">
        <v>2688</v>
      </c>
      <c r="F40" s="2"/>
      <c r="G40" s="2"/>
      <c r="H40" s="2"/>
      <c r="I40" s="2"/>
      <c r="J40" s="2"/>
      <c r="K40" s="2"/>
      <c r="L40" s="2"/>
      <c r="M40" s="2"/>
      <c r="N40" s="2"/>
      <c r="O40" s="2"/>
    </row>
    <row r="41" customFormat="false" ht="15" hidden="false" customHeight="false" outlineLevel="0" collapsed="false">
      <c r="A41" s="2"/>
      <c r="B41" s="5" t="s">
        <v>2689</v>
      </c>
      <c r="C41" s="64" t="n">
        <f aca="false">100*(1-Hypothèses!$J$26/Hypothèses!$J$14)</f>
        <v>70</v>
      </c>
      <c r="D41" s="2"/>
      <c r="E41" s="24" t="s">
        <v>2690</v>
      </c>
      <c r="F41" s="2"/>
      <c r="G41" s="2"/>
      <c r="H41" s="2"/>
      <c r="I41" s="2"/>
      <c r="J41" s="2"/>
      <c r="K41" s="2"/>
      <c r="L41" s="2"/>
      <c r="M41" s="2"/>
      <c r="N41" s="2"/>
      <c r="O41" s="2"/>
    </row>
    <row r="42" customFormat="false" ht="15" hidden="false" customHeight="false" outlineLevel="0" collapsed="false">
      <c r="A42" s="2"/>
      <c r="B42" s="5" t="s">
        <v>2691</v>
      </c>
      <c r="C42" s="64" t="n">
        <f aca="false">-100*(1-Hypothèses!$J$26/Hypothèses!$J$21)</f>
        <v>-69.3877551020408</v>
      </c>
      <c r="D42" s="2"/>
      <c r="E42" s="24" t="s">
        <v>2692</v>
      </c>
      <c r="F42" s="2"/>
      <c r="G42" s="2"/>
      <c r="H42" s="2"/>
      <c r="I42" s="2"/>
      <c r="J42" s="2"/>
      <c r="K42" s="2"/>
      <c r="L42" s="2"/>
      <c r="M42" s="2"/>
      <c r="N42" s="2"/>
      <c r="O42" s="2"/>
    </row>
    <row r="43" customFormat="false" ht="15" hidden="false" customHeight="false" outlineLevel="0" collapsed="false">
      <c r="A43" s="2"/>
      <c r="B43" s="5" t="s">
        <v>2693</v>
      </c>
      <c r="C43" s="64" t="n">
        <f aca="false">-100</f>
        <v>-100</v>
      </c>
      <c r="D43" s="2"/>
      <c r="E43" s="24" t="s">
        <v>2688</v>
      </c>
      <c r="F43" s="2"/>
      <c r="G43" s="2"/>
      <c r="H43" s="2"/>
      <c r="I43" s="2"/>
      <c r="J43" s="2"/>
      <c r="K43" s="2"/>
      <c r="L43" s="2"/>
      <c r="M43" s="2"/>
      <c r="N43" s="2"/>
      <c r="O43" s="2"/>
    </row>
    <row r="44" customFormat="false" ht="15" hidden="false" customHeight="false" outlineLevel="0" collapsed="false">
      <c r="A44" s="2"/>
      <c r="B44" s="5" t="s">
        <v>2694</v>
      </c>
      <c r="C44" s="64" t="n">
        <f aca="false">-100</f>
        <v>-100</v>
      </c>
      <c r="D44" s="2"/>
      <c r="E44" s="24" t="s">
        <v>2695</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2696</v>
      </c>
      <c r="B46" s="2"/>
      <c r="C46" s="2"/>
      <c r="D46" s="2"/>
      <c r="E46" s="2"/>
      <c r="F46" s="2"/>
      <c r="G46" s="2"/>
      <c r="H46" s="2"/>
      <c r="I46" s="2"/>
      <c r="J46" s="2"/>
      <c r="K46" s="2"/>
      <c r="L46" s="2"/>
      <c r="M46" s="2"/>
      <c r="N46" s="2"/>
      <c r="O46" s="2"/>
    </row>
    <row r="47" customFormat="false" ht="35.05" hidden="false" customHeight="false" outlineLevel="0" collapsed="false">
      <c r="A47" s="21"/>
      <c r="B47" s="21" t="s">
        <v>2697</v>
      </c>
      <c r="C47" s="21" t="s">
        <v>2698</v>
      </c>
      <c r="D47" s="21" t="s">
        <v>93</v>
      </c>
      <c r="E47" s="21" t="s">
        <v>2699</v>
      </c>
      <c r="F47" s="21" t="s">
        <v>2700</v>
      </c>
      <c r="G47" s="2"/>
      <c r="H47" s="2"/>
      <c r="I47" s="2"/>
      <c r="J47" s="2"/>
      <c r="K47" s="2"/>
      <c r="L47" s="2"/>
      <c r="M47" s="2"/>
      <c r="N47" s="2"/>
      <c r="O47" s="2"/>
    </row>
    <row r="48" customFormat="false" ht="15" hidden="false" customHeight="false" outlineLevel="0" collapsed="false">
      <c r="A48" s="24" t="s">
        <v>2701</v>
      </c>
      <c r="B48" s="5" t="s">
        <v>2702</v>
      </c>
      <c r="C48" s="61" t="n">
        <f aca="false">Entrées!$C$565</f>
        <v>-30</v>
      </c>
      <c r="D48" s="24" t="s">
        <v>103</v>
      </c>
      <c r="E48" s="45" t="n">
        <f aca="false">C48*Hypothèses!$J$26</f>
        <v>-90</v>
      </c>
      <c r="F48" s="24" t="s">
        <v>2703</v>
      </c>
      <c r="G48" s="2"/>
      <c r="H48" s="2"/>
      <c r="I48" s="2"/>
      <c r="J48" s="2"/>
      <c r="K48" s="2"/>
      <c r="L48" s="2"/>
      <c r="M48" s="2"/>
      <c r="N48" s="2"/>
      <c r="O48" s="2"/>
    </row>
    <row r="49" customFormat="false" ht="15" hidden="false" customHeight="false" outlineLevel="0" collapsed="false">
      <c r="A49" s="24" t="s">
        <v>2704</v>
      </c>
      <c r="B49" s="5" t="s">
        <v>2705</v>
      </c>
      <c r="C49" s="61" t="n">
        <f aca="false">Entrées!$C$566</f>
        <v>-60</v>
      </c>
      <c r="D49" s="24" t="s">
        <v>103</v>
      </c>
      <c r="E49" s="45" t="n">
        <f aca="false">C49*2*Hypothèses!$J$26</f>
        <v>-360</v>
      </c>
      <c r="F49" s="24" t="s">
        <v>2706</v>
      </c>
      <c r="G49" s="2"/>
      <c r="H49" s="2"/>
      <c r="I49" s="2"/>
      <c r="J49" s="2"/>
      <c r="K49" s="2"/>
      <c r="L49" s="2"/>
      <c r="M49" s="2"/>
      <c r="N49" s="2"/>
      <c r="O49" s="2"/>
    </row>
    <row r="50" customFormat="false" ht="15" hidden="false" customHeight="false" outlineLevel="0" collapsed="false">
      <c r="A50" s="24" t="s">
        <v>2707</v>
      </c>
      <c r="B50" s="5" t="s">
        <v>2708</v>
      </c>
      <c r="C50" s="61" t="n">
        <f aca="false">Entrées!$C$562</f>
        <v>2455</v>
      </c>
      <c r="D50" s="24" t="s">
        <v>2709</v>
      </c>
      <c r="E50" s="45" t="n">
        <f aca="false">-C50*0.1</f>
        <v>-245.5</v>
      </c>
      <c r="F50" s="24" t="s">
        <v>2710</v>
      </c>
      <c r="G50" s="2"/>
      <c r="H50" s="2"/>
      <c r="I50" s="2"/>
      <c r="J50" s="2"/>
      <c r="K50" s="2"/>
      <c r="L50" s="2"/>
      <c r="M50" s="2"/>
      <c r="N50" s="2"/>
      <c r="O50" s="2"/>
    </row>
    <row r="51" customFormat="false" ht="15" hidden="false" customHeight="false" outlineLevel="0" collapsed="false">
      <c r="A51" s="24" t="s">
        <v>2711</v>
      </c>
      <c r="B51" s="5" t="s">
        <v>2712</v>
      </c>
      <c r="C51" s="61" t="n">
        <f aca="false">Entrées!$C$564</f>
        <v>-190</v>
      </c>
      <c r="D51" s="24" t="s">
        <v>103</v>
      </c>
      <c r="E51" s="45" t="n">
        <f aca="false">-C51</f>
        <v>190</v>
      </c>
      <c r="F51" s="24" t="s">
        <v>2713</v>
      </c>
      <c r="G51" s="2"/>
      <c r="H51" s="2"/>
      <c r="I51" s="2"/>
      <c r="J51" s="2"/>
      <c r="K51" s="2"/>
      <c r="L51" s="2"/>
      <c r="M51" s="2"/>
      <c r="N51" s="2"/>
      <c r="O51" s="2"/>
    </row>
    <row r="52" customFormat="false" ht="15" hidden="false" customHeight="false" outlineLevel="0" collapsed="false">
      <c r="A52" s="24" t="s">
        <v>2714</v>
      </c>
      <c r="B52" s="5" t="s">
        <v>2715</v>
      </c>
      <c r="C52" s="61" t="n">
        <f aca="false">Entrées!$C$554</f>
        <v>-223</v>
      </c>
      <c r="D52" s="24" t="s">
        <v>103</v>
      </c>
      <c r="E52" s="45" t="n">
        <f aca="false">C52*Hypothèses!$J$26</f>
        <v>-669</v>
      </c>
      <c r="F52" s="24" t="s">
        <v>2716</v>
      </c>
      <c r="G52" s="2"/>
      <c r="H52" s="2"/>
      <c r="I52" s="2"/>
      <c r="J52" s="2"/>
      <c r="K52" s="2"/>
      <c r="L52" s="2"/>
      <c r="M52" s="2"/>
      <c r="N52" s="2"/>
      <c r="O52" s="2"/>
    </row>
    <row r="53" customFormat="false" ht="15" hidden="false" customHeight="false" outlineLevel="0" collapsed="false">
      <c r="A53" s="24" t="s">
        <v>2717</v>
      </c>
      <c r="B53" s="5" t="s">
        <v>2718</v>
      </c>
      <c r="C53" s="61" t="n">
        <f aca="false">Entrées!$C$561</f>
        <v>-2992</v>
      </c>
      <c r="D53" s="24" t="s">
        <v>103</v>
      </c>
      <c r="E53" s="45" t="n">
        <f aca="false">C53*0.01</f>
        <v>-29.92</v>
      </c>
      <c r="F53" s="24" t="s">
        <v>2719</v>
      </c>
      <c r="G53" s="2"/>
      <c r="H53" s="2"/>
      <c r="I53" s="2"/>
      <c r="J53" s="2"/>
      <c r="K53" s="2"/>
      <c r="L53" s="2"/>
      <c r="M53" s="2"/>
      <c r="N53" s="2"/>
      <c r="O53" s="2"/>
    </row>
    <row r="54" customFormat="false" ht="15" hidden="false" customHeight="false" outlineLevel="0" collapsed="false">
      <c r="A54" s="24" t="s">
        <v>2720</v>
      </c>
      <c r="B54" s="5" t="s">
        <v>2721</v>
      </c>
      <c r="C54" s="72" t="n">
        <f aca="false">Entrées!$C$559/100</f>
        <v>0.561</v>
      </c>
      <c r="D54" s="24" t="s">
        <v>299</v>
      </c>
      <c r="E54" s="2"/>
      <c r="F54" s="24" t="s">
        <v>2722</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2723</v>
      </c>
      <c r="B1" s="2"/>
      <c r="C1" s="2"/>
      <c r="D1" s="2"/>
      <c r="E1" s="2"/>
      <c r="F1" s="2"/>
      <c r="G1" s="2"/>
      <c r="H1" s="2"/>
      <c r="I1" s="2"/>
      <c r="J1" s="2"/>
    </row>
    <row r="2" customFormat="false" ht="15" hidden="false" customHeight="false" outlineLevel="0" collapsed="false">
      <c r="A2" s="3" t="s">
        <v>2724</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2130</v>
      </c>
      <c r="B4" s="22" t="s">
        <v>2725</v>
      </c>
      <c r="C4" s="2"/>
      <c r="D4" s="2"/>
      <c r="E4" s="2"/>
      <c r="F4" s="2"/>
      <c r="G4" s="2"/>
      <c r="H4" s="2"/>
      <c r="I4" s="2"/>
      <c r="J4" s="2"/>
    </row>
    <row r="5" customFormat="false" ht="15" hidden="false" customHeight="false" outlineLevel="0" collapsed="false">
      <c r="A5" s="21"/>
      <c r="B5" s="21" t="s">
        <v>2726</v>
      </c>
      <c r="C5" s="21" t="s">
        <v>2727</v>
      </c>
      <c r="D5" s="21" t="s">
        <v>2728</v>
      </c>
      <c r="E5" s="21" t="s">
        <v>2729</v>
      </c>
      <c r="F5" s="21" t="s">
        <v>2730</v>
      </c>
      <c r="G5" s="21" t="s">
        <v>2731</v>
      </c>
      <c r="H5" s="21" t="s">
        <v>2732</v>
      </c>
      <c r="I5" s="21" t="s">
        <v>2733</v>
      </c>
      <c r="J5" s="21" t="s">
        <v>2734</v>
      </c>
    </row>
    <row r="6" customFormat="false" ht="15" hidden="false" customHeight="false" outlineLevel="0" collapsed="false">
      <c r="A6" s="24" t="s">
        <v>2611</v>
      </c>
      <c r="B6" s="5" t="s">
        <v>2612</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2633</v>
      </c>
      <c r="B7" s="5" t="s">
        <v>2634</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2635</v>
      </c>
      <c r="B8" s="5" t="s">
        <v>2735</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2645</v>
      </c>
      <c r="B9" s="5" t="s">
        <v>2646</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2647</v>
      </c>
      <c r="B10" s="5" t="s">
        <v>2736</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2655</v>
      </c>
      <c r="B11" s="5" t="s">
        <v>2737</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2657</v>
      </c>
      <c r="B12" s="5" t="s">
        <v>2738</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2661</v>
      </c>
      <c r="B13" s="5" t="s">
        <v>2739</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2625</v>
      </c>
      <c r="B14" s="5" t="s">
        <v>2626</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2631</v>
      </c>
      <c r="B15" s="5" t="s">
        <v>2740</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2143</v>
      </c>
      <c r="B17" s="22" t="s">
        <v>2741</v>
      </c>
      <c r="C17" s="2"/>
      <c r="D17" s="2"/>
      <c r="E17" s="2"/>
      <c r="F17" s="2"/>
      <c r="G17" s="2"/>
      <c r="H17" s="2"/>
      <c r="I17" s="2"/>
      <c r="J17" s="2"/>
    </row>
    <row r="18" customFormat="false" ht="23.85" hidden="false" customHeight="false" outlineLevel="0" collapsed="false">
      <c r="A18" s="21"/>
      <c r="B18" s="21" t="s">
        <v>2742</v>
      </c>
      <c r="C18" s="21" t="s">
        <v>2743</v>
      </c>
      <c r="D18" s="21"/>
      <c r="E18" s="21" t="s">
        <v>2744</v>
      </c>
      <c r="F18" s="2"/>
      <c r="G18" s="2"/>
      <c r="H18" s="2"/>
      <c r="I18" s="2"/>
      <c r="J18" s="2"/>
    </row>
    <row r="19" customFormat="false" ht="15" hidden="false" customHeight="false" outlineLevel="0" collapsed="false">
      <c r="A19" s="2"/>
      <c r="B19" s="22" t="s">
        <v>2745</v>
      </c>
      <c r="C19" s="106" t="n">
        <f aca="false">COUNTIF(Simulation!$BG$16:$BG$1015,"&gt;0")/1000</f>
        <v>1</v>
      </c>
      <c r="D19" s="2"/>
      <c r="E19" s="24" t="s">
        <v>2746</v>
      </c>
      <c r="F19" s="2"/>
      <c r="G19" s="2"/>
      <c r="H19" s="2"/>
      <c r="I19" s="2"/>
      <c r="J19" s="2"/>
    </row>
    <row r="20" customFormat="false" ht="15" hidden="false" customHeight="false" outlineLevel="0" collapsed="false">
      <c r="A20" s="2"/>
      <c r="B20" s="5" t="s">
        <v>2747</v>
      </c>
      <c r="C20" s="106" t="n">
        <f aca="false">COUNTIF(Simulation!$AV$16:$AV$1015,"&gt;0")/1000</f>
        <v>1</v>
      </c>
      <c r="D20" s="2"/>
      <c r="E20" s="24"/>
      <c r="F20" s="2"/>
      <c r="G20" s="2"/>
      <c r="H20" s="2"/>
      <c r="I20" s="2"/>
      <c r="J20" s="2"/>
    </row>
    <row r="21" customFormat="false" ht="15" hidden="false" customHeight="false" outlineLevel="0" collapsed="false">
      <c r="A21" s="2"/>
      <c r="B21" s="5" t="s">
        <v>2748</v>
      </c>
      <c r="C21" s="106" t="n">
        <f aca="false">COUNTIF(Simulation!$BF$16:$BF$1015,"&gt;0")/1000</f>
        <v>1</v>
      </c>
      <c r="D21" s="2"/>
      <c r="E21" s="24"/>
      <c r="F21" s="2"/>
      <c r="G21" s="2"/>
      <c r="H21" s="2"/>
      <c r="I21" s="2"/>
      <c r="J21" s="2"/>
    </row>
    <row r="22" customFormat="false" ht="15" hidden="false" customHeight="false" outlineLevel="0" collapsed="false">
      <c r="A22" s="2"/>
      <c r="B22" s="5" t="s">
        <v>2749</v>
      </c>
      <c r="C22" s="106" t="n">
        <f aca="false">COUNTIF(Simulation!$BA$16:$BA$1015,"&lt;"&amp;Entrées!$C$151/100)/1000</f>
        <v>0</v>
      </c>
      <c r="D22" s="2"/>
      <c r="E22" s="24" t="s">
        <v>2750</v>
      </c>
      <c r="F22" s="2"/>
      <c r="G22" s="2"/>
      <c r="H22" s="2"/>
      <c r="I22" s="2"/>
      <c r="J22" s="2"/>
    </row>
    <row r="23" customFormat="false" ht="15" hidden="false" customHeight="false" outlineLevel="0" collapsed="false">
      <c r="A23" s="2"/>
      <c r="B23" s="5" t="s">
        <v>2751</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2752</v>
      </c>
      <c r="C24" s="106" t="n">
        <f aca="false">COUNTIF(Simulation!$AJ$16:$AJ$1015,"&gt;3.1")/1000</f>
        <v>0</v>
      </c>
      <c r="D24" s="2"/>
      <c r="E24" s="24" t="s">
        <v>2753</v>
      </c>
      <c r="F24" s="2"/>
      <c r="G24" s="2"/>
      <c r="H24" s="2"/>
      <c r="I24" s="2"/>
      <c r="J24" s="2"/>
    </row>
    <row r="25" customFormat="false" ht="15" hidden="false" customHeight="false" outlineLevel="0" collapsed="false">
      <c r="A25" s="2"/>
      <c r="B25" s="22" t="s">
        <v>2754</v>
      </c>
      <c r="C25" s="106" t="n">
        <f aca="false">COUNTIF(Simulation!$BH$16:$BH$1015,"&gt;=1000")/1000</f>
        <v>0.968</v>
      </c>
      <c r="D25" s="2"/>
      <c r="E25" s="24" t="s">
        <v>2755</v>
      </c>
      <c r="F25" s="2"/>
      <c r="G25" s="2"/>
      <c r="H25" s="2"/>
      <c r="I25" s="2"/>
      <c r="J25" s="2"/>
    </row>
    <row r="26" customFormat="false" ht="15" hidden="false" customHeight="false" outlineLevel="0" collapsed="false">
      <c r="A26" s="2"/>
      <c r="B26" s="5" t="s">
        <v>2756</v>
      </c>
      <c r="C26" s="106" t="n">
        <f aca="false">COUNTIF(Simulation!$BH$16:$BH$1015,"&gt;=2000")/1000</f>
        <v>0.604</v>
      </c>
      <c r="D26" s="2"/>
      <c r="E26" s="24"/>
      <c r="F26" s="2"/>
      <c r="G26" s="2"/>
      <c r="H26" s="2"/>
      <c r="I26" s="2"/>
      <c r="J26" s="2"/>
    </row>
    <row r="27" customFormat="false" ht="15" hidden="false" customHeight="false" outlineLevel="0" collapsed="false">
      <c r="A27" s="2"/>
      <c r="B27" s="5" t="s">
        <v>2757</v>
      </c>
      <c r="C27" s="106" t="n">
        <f aca="false">COUNTIF(Simulation!$BH$16:$BH$1015,"&gt;=3000")/1000</f>
        <v>0.118</v>
      </c>
      <c r="D27" s="2"/>
      <c r="E27" s="24"/>
      <c r="F27" s="2"/>
      <c r="G27" s="2"/>
      <c r="H27" s="2"/>
      <c r="I27" s="2"/>
      <c r="J27" s="2"/>
    </row>
    <row r="28" customFormat="false" ht="15" hidden="false" customHeight="false" outlineLevel="0" collapsed="false">
      <c r="A28" s="2"/>
      <c r="B28" s="5" t="s">
        <v>2758</v>
      </c>
      <c r="C28" s="106" t="n">
        <f aca="false">COUNTIF(Simulation!$AX$16:$AX$1015,"&gt;=0")/1000</f>
        <v>0.402</v>
      </c>
      <c r="D28" s="2"/>
      <c r="E28" s="24"/>
      <c r="F28" s="2"/>
      <c r="G28" s="2"/>
      <c r="H28" s="2"/>
      <c r="I28" s="2"/>
      <c r="J28" s="2"/>
    </row>
    <row r="29" customFormat="false" ht="15" hidden="false" customHeight="false" outlineLevel="0" collapsed="false">
      <c r="A29" s="2"/>
      <c r="B29" s="5" t="s">
        <v>2759</v>
      </c>
      <c r="C29" s="58" t="n">
        <f aca="false">COUNTIF(Simulation!$BG$16:$BG$1015,"&lt;0")</f>
        <v>0</v>
      </c>
      <c r="D29" s="2"/>
      <c r="E29" s="24" t="s">
        <v>2760</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2308</v>
      </c>
      <c r="B31" s="22" t="s">
        <v>2761</v>
      </c>
      <c r="C31" s="2"/>
      <c r="D31" s="2"/>
      <c r="E31" s="2"/>
      <c r="F31" s="2"/>
      <c r="G31" s="2"/>
      <c r="H31" s="2"/>
      <c r="I31" s="2"/>
      <c r="J31" s="2"/>
    </row>
    <row r="32" customFormat="false" ht="15" hidden="false" customHeight="false" outlineLevel="0" collapsed="false">
      <c r="A32" s="21"/>
      <c r="B32" s="21" t="s">
        <v>2762</v>
      </c>
      <c r="C32" s="21" t="s">
        <v>2763</v>
      </c>
      <c r="D32" s="21" t="s">
        <v>2764</v>
      </c>
      <c r="E32" s="21" t="s">
        <v>2765</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2457</v>
      </c>
      <c r="B48" s="22" t="s">
        <v>2766</v>
      </c>
      <c r="C48" s="2"/>
      <c r="D48" s="2"/>
      <c r="E48" s="2"/>
      <c r="F48" s="2"/>
      <c r="G48" s="2"/>
      <c r="H48" s="2"/>
      <c r="I48" s="2"/>
      <c r="J48" s="2"/>
    </row>
    <row r="49" customFormat="false" ht="15" hidden="false" customHeight="false" outlineLevel="0" collapsed="false">
      <c r="A49" s="21"/>
      <c r="B49" s="21" t="s">
        <v>2387</v>
      </c>
      <c r="C49" s="21" t="s">
        <v>2729</v>
      </c>
      <c r="D49" s="21" t="s">
        <v>2730</v>
      </c>
      <c r="E49" s="21" t="s">
        <v>2731</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2767</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2768</v>
      </c>
      <c r="B1" s="2"/>
      <c r="C1" s="2"/>
      <c r="D1" s="2"/>
      <c r="E1" s="2"/>
      <c r="F1" s="2"/>
      <c r="G1" s="2"/>
      <c r="H1" s="2"/>
      <c r="I1" s="2"/>
      <c r="J1" s="2"/>
      <c r="K1" s="2"/>
      <c r="L1" s="2"/>
    </row>
    <row r="2" customFormat="false" ht="15" hidden="false" customHeight="false" outlineLevel="0" collapsed="false">
      <c r="A2" s="3" t="s">
        <v>2769</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2130</v>
      </c>
      <c r="B4" s="22" t="s">
        <v>2770</v>
      </c>
      <c r="C4" s="2"/>
      <c r="D4" s="2"/>
      <c r="E4" s="2"/>
      <c r="F4" s="2"/>
      <c r="G4" s="2"/>
      <c r="H4" s="2"/>
      <c r="I4" s="2"/>
      <c r="J4" s="2"/>
      <c r="K4" s="2"/>
      <c r="L4" s="2"/>
    </row>
    <row r="5" customFormat="false" ht="23.85" hidden="false" customHeight="false" outlineLevel="0" collapsed="false">
      <c r="A5" s="21"/>
      <c r="B5" s="21" t="s">
        <v>2771</v>
      </c>
      <c r="C5" s="21" t="s">
        <v>2772</v>
      </c>
      <c r="D5" s="21" t="s">
        <v>2479</v>
      </c>
      <c r="E5" s="21" t="s">
        <v>2133</v>
      </c>
      <c r="F5" s="21" t="s">
        <v>2138</v>
      </c>
      <c r="G5" s="21" t="s">
        <v>2773</v>
      </c>
      <c r="H5" s="21" t="s">
        <v>2774</v>
      </c>
      <c r="I5" s="21" t="s">
        <v>2775</v>
      </c>
      <c r="J5" s="21" t="s">
        <v>2776</v>
      </c>
      <c r="K5" s="21" t="s">
        <v>2777</v>
      </c>
      <c r="L5" s="21" t="s">
        <v>2048</v>
      </c>
    </row>
    <row r="6" customFormat="false" ht="15" hidden="false" customHeight="false" outlineLevel="0" collapsed="false">
      <c r="A6" s="2"/>
      <c r="B6" s="5" t="s">
        <v>2778</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2779</v>
      </c>
    </row>
    <row r="7" customFormat="false" ht="15" hidden="false" customHeight="false" outlineLevel="0" collapsed="false">
      <c r="A7" s="2"/>
      <c r="B7" s="5" t="s">
        <v>2780</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2781</v>
      </c>
    </row>
    <row r="8" customFormat="false" ht="15" hidden="false" customHeight="false" outlineLevel="0" collapsed="false">
      <c r="A8" s="2"/>
      <c r="B8" s="5" t="s">
        <v>2782</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2783</v>
      </c>
    </row>
    <row r="9" customFormat="false" ht="15" hidden="false" customHeight="false" outlineLevel="0" collapsed="false">
      <c r="A9" s="2"/>
      <c r="B9" s="5" t="s">
        <v>2784</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2785</v>
      </c>
    </row>
    <row r="10" customFormat="false" ht="15" hidden="false" customHeight="false" outlineLevel="0" collapsed="false">
      <c r="A10" s="2"/>
      <c r="B10" s="22" t="s">
        <v>2786</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2787</v>
      </c>
      <c r="C11" s="2"/>
      <c r="D11" s="2"/>
      <c r="E11" s="61" t="n">
        <f aca="false">Entrées!$C$22</f>
        <v>6788</v>
      </c>
      <c r="F11" s="61" t="n">
        <f aca="false">Entrées!$C$8</f>
        <v>7050</v>
      </c>
      <c r="G11" s="2"/>
      <c r="H11" s="2"/>
      <c r="I11" s="2"/>
      <c r="J11" s="2"/>
      <c r="K11" s="2"/>
      <c r="L11" s="24" t="s">
        <v>2788</v>
      </c>
    </row>
    <row r="12" customFormat="false" ht="15" hidden="false" customHeight="false" outlineLevel="0" collapsed="false">
      <c r="A12" s="2"/>
      <c r="B12" s="5" t="s">
        <v>2789</v>
      </c>
      <c r="C12" s="2"/>
      <c r="D12" s="2"/>
      <c r="E12" s="107" t="s">
        <v>2519</v>
      </c>
      <c r="F12" s="64" t="n">
        <f aca="false">F11-F10</f>
        <v>139</v>
      </c>
      <c r="G12" s="2"/>
      <c r="H12" s="2"/>
      <c r="I12" s="2"/>
      <c r="J12" s="2"/>
      <c r="K12" s="2"/>
      <c r="L12" s="24" t="s">
        <v>2790</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2143</v>
      </c>
      <c r="B14" s="22" t="s">
        <v>2791</v>
      </c>
      <c r="C14" s="2"/>
      <c r="D14" s="2"/>
      <c r="E14" s="2"/>
      <c r="F14" s="2"/>
      <c r="G14" s="2"/>
      <c r="H14" s="2"/>
      <c r="I14" s="2"/>
      <c r="J14" s="2"/>
      <c r="K14" s="2"/>
      <c r="L14" s="2"/>
    </row>
    <row r="15" customFormat="false" ht="35.05" hidden="false" customHeight="false" outlineLevel="0" collapsed="false">
      <c r="A15" s="21"/>
      <c r="B15" s="21" t="s">
        <v>2792</v>
      </c>
      <c r="C15" s="21" t="s">
        <v>2772</v>
      </c>
      <c r="D15" s="21" t="s">
        <v>2479</v>
      </c>
      <c r="E15" s="21" t="s">
        <v>2133</v>
      </c>
      <c r="F15" s="21" t="s">
        <v>2138</v>
      </c>
      <c r="G15" s="21" t="s">
        <v>2773</v>
      </c>
      <c r="H15" s="21" t="s">
        <v>2793</v>
      </c>
      <c r="I15" s="21" t="s">
        <v>2775</v>
      </c>
      <c r="J15" s="21" t="s">
        <v>2776</v>
      </c>
      <c r="K15" s="21" t="s">
        <v>2777</v>
      </c>
      <c r="L15" s="21" t="s">
        <v>2048</v>
      </c>
    </row>
    <row r="16" customFormat="false" ht="15" hidden="false" customHeight="false" outlineLevel="0" collapsed="false">
      <c r="A16" s="2"/>
      <c r="B16" s="5" t="s">
        <v>2794</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2795</v>
      </c>
    </row>
    <row r="17" customFormat="false" ht="15" hidden="false" customHeight="false" outlineLevel="0" collapsed="false">
      <c r="A17" s="2"/>
      <c r="B17" s="5" t="s">
        <v>2796</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2797</v>
      </c>
    </row>
    <row r="18" customFormat="false" ht="15" hidden="false" customHeight="false" outlineLevel="0" collapsed="false">
      <c r="A18" s="2"/>
      <c r="B18" s="5" t="s">
        <v>2798</v>
      </c>
      <c r="C18" s="2"/>
      <c r="D18" s="61" t="n">
        <f aca="false">Entrées!$C$64*1000</f>
        <v>5200</v>
      </c>
      <c r="E18" s="2"/>
      <c r="F18" s="61" t="n">
        <f aca="false">Entrées!$C$65*1000</f>
        <v>900</v>
      </c>
      <c r="G18" s="66" t="n">
        <f aca="false">F18/D18</f>
        <v>0.173076923076923</v>
      </c>
      <c r="H18" s="2"/>
      <c r="I18" s="2"/>
      <c r="J18" s="2"/>
      <c r="K18" s="2"/>
      <c r="L18" s="24" t="s">
        <v>2799</v>
      </c>
    </row>
    <row r="19" customFormat="false" ht="15" hidden="false" customHeight="false" outlineLevel="0" collapsed="false">
      <c r="A19" s="2"/>
      <c r="B19" s="5" t="s">
        <v>2800</v>
      </c>
      <c r="C19" s="2"/>
      <c r="D19" s="2"/>
      <c r="E19" s="2"/>
      <c r="F19" s="2"/>
      <c r="G19" s="72" t="n">
        <f aca="false">Entrées!$C$177/100</f>
        <v>0.126</v>
      </c>
      <c r="H19" s="2"/>
      <c r="I19" s="2"/>
      <c r="J19" s="2"/>
      <c r="K19" s="2"/>
      <c r="L19" s="24" t="s">
        <v>644</v>
      </c>
    </row>
    <row r="20" customFormat="false" ht="15" hidden="false" customHeight="false" outlineLevel="0" collapsed="false">
      <c r="A20" s="2"/>
      <c r="B20" s="5" t="s">
        <v>2801</v>
      </c>
      <c r="C20" s="78" t="n">
        <f aca="false">Entrées!$C$223</f>
        <v>3</v>
      </c>
      <c r="D20" s="78" t="n">
        <f aca="false">Entrées!$C$224</f>
        <v>4.9</v>
      </c>
      <c r="E20" s="2"/>
      <c r="F20" s="2"/>
      <c r="G20" s="2"/>
      <c r="H20" s="66" t="n">
        <f aca="false">(D20/C20)^(1/4)-1</f>
        <v>0.1304951573737</v>
      </c>
      <c r="I20" s="2"/>
      <c r="J20" s="2"/>
      <c r="K20" s="2"/>
      <c r="L20" s="24" t="s">
        <v>2802</v>
      </c>
    </row>
    <row r="21" customFormat="false" ht="15" hidden="false" customHeight="false" outlineLevel="0" collapsed="false">
      <c r="A21" s="2"/>
      <c r="B21" s="5" t="s">
        <v>2803</v>
      </c>
      <c r="C21" s="2"/>
      <c r="D21" s="2"/>
      <c r="E21" s="2"/>
      <c r="F21" s="2"/>
      <c r="G21" s="2"/>
      <c r="H21" s="66" t="n">
        <f aca="false">(D17/1000/C20)^(1/2)-1</f>
        <v>0.157727659397206</v>
      </c>
      <c r="I21" s="2"/>
      <c r="J21" s="2"/>
      <c r="K21" s="2"/>
      <c r="L21" s="24" t="s">
        <v>2804</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2308</v>
      </c>
      <c r="B23" s="22" t="s">
        <v>2805</v>
      </c>
      <c r="C23" s="2"/>
      <c r="D23" s="2"/>
      <c r="E23" s="2"/>
      <c r="F23" s="2"/>
      <c r="G23" s="2"/>
      <c r="H23" s="2"/>
      <c r="I23" s="2"/>
      <c r="J23" s="2"/>
      <c r="K23" s="2"/>
      <c r="L23" s="2"/>
    </row>
    <row r="24" customFormat="false" ht="35.05" hidden="false" customHeight="false" outlineLevel="0" collapsed="false">
      <c r="A24" s="21"/>
      <c r="B24" s="21" t="s">
        <v>2771</v>
      </c>
      <c r="C24" s="21" t="s">
        <v>2138</v>
      </c>
      <c r="D24" s="21" t="s">
        <v>2806</v>
      </c>
      <c r="E24" s="21" t="s">
        <v>2807</v>
      </c>
      <c r="F24" s="21"/>
      <c r="G24" s="21"/>
      <c r="H24" s="21"/>
      <c r="I24" s="21"/>
      <c r="J24" s="21"/>
      <c r="K24" s="21"/>
      <c r="L24" s="21" t="s">
        <v>2808</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2809</v>
      </c>
    </row>
    <row r="29" customFormat="false" ht="15" hidden="false" customHeight="false" outlineLevel="0" collapsed="false">
      <c r="A29" s="2"/>
      <c r="B29" s="5" t="s">
        <v>2810</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2811</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2812</v>
      </c>
      <c r="C31" s="2"/>
      <c r="D31" s="2"/>
      <c r="E31" s="45" t="n">
        <f aca="false">SUM(E25:E30)</f>
        <v>8094.42222686603</v>
      </c>
      <c r="F31" s="2"/>
      <c r="G31" s="2"/>
      <c r="H31" s="2"/>
      <c r="I31" s="2"/>
      <c r="J31" s="2"/>
      <c r="K31" s="2"/>
      <c r="L31" s="2"/>
    </row>
    <row r="32" customFormat="false" ht="15" hidden="false" customHeight="false" outlineLevel="0" collapsed="false">
      <c r="A32" s="2"/>
      <c r="B32" s="5" t="s">
        <v>2813</v>
      </c>
      <c r="C32" s="2"/>
      <c r="D32" s="2"/>
      <c r="E32" s="61" t="n">
        <f aca="false">Entrées!$C$17*1000</f>
        <v>8000</v>
      </c>
      <c r="F32" s="2"/>
      <c r="G32" s="2"/>
      <c r="H32" s="2"/>
      <c r="I32" s="2"/>
      <c r="J32" s="2"/>
      <c r="K32" s="2"/>
      <c r="L32" s="2"/>
    </row>
    <row r="33" customFormat="false" ht="15" hidden="false" customHeight="false" outlineLevel="0" collapsed="false">
      <c r="A33" s="2"/>
      <c r="B33" s="5" t="s">
        <v>2814</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2457</v>
      </c>
      <c r="B36" s="22" t="s">
        <v>2815</v>
      </c>
      <c r="C36" s="2"/>
      <c r="D36" s="2"/>
      <c r="E36" s="2"/>
      <c r="F36" s="2"/>
      <c r="G36" s="2"/>
      <c r="H36" s="2"/>
      <c r="I36" s="2"/>
      <c r="J36" s="2"/>
      <c r="K36" s="2"/>
      <c r="L36" s="2"/>
    </row>
    <row r="37" customFormat="false" ht="23.85" hidden="false" customHeight="false" outlineLevel="0" collapsed="false">
      <c r="A37" s="21"/>
      <c r="B37" s="21" t="s">
        <v>2816</v>
      </c>
      <c r="C37" s="21" t="s">
        <v>2817</v>
      </c>
      <c r="D37" s="21" t="s">
        <v>225</v>
      </c>
      <c r="E37" s="21" t="s">
        <v>170</v>
      </c>
      <c r="F37" s="21" t="s">
        <v>2818</v>
      </c>
      <c r="G37" s="21" t="s">
        <v>2819</v>
      </c>
      <c r="H37" s="21"/>
      <c r="I37" s="21"/>
      <c r="J37" s="21"/>
      <c r="K37" s="21"/>
      <c r="L37" s="21" t="s">
        <v>2048</v>
      </c>
    </row>
    <row r="38" customFormat="false" ht="15" hidden="false" customHeight="false" outlineLevel="0" collapsed="false">
      <c r="A38" s="2"/>
      <c r="B38" s="5" t="s">
        <v>2820</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2821</v>
      </c>
    </row>
    <row r="39" customFormat="false" ht="15" hidden="false" customHeight="false" outlineLevel="0" collapsed="false">
      <c r="A39" s="2"/>
      <c r="B39" s="5" t="s">
        <v>2822</v>
      </c>
      <c r="C39" s="2"/>
      <c r="D39" s="2"/>
      <c r="E39" s="2"/>
      <c r="F39" s="78" t="n">
        <f aca="false">Entrées!$C$192</f>
        <v>18</v>
      </c>
      <c r="G39" s="2"/>
      <c r="H39" s="2"/>
      <c r="I39" s="2"/>
      <c r="J39" s="2"/>
      <c r="K39" s="2"/>
      <c r="L39" s="24" t="s">
        <v>2823</v>
      </c>
    </row>
    <row r="40" customFormat="false" ht="15" hidden="false" customHeight="false" outlineLevel="0" collapsed="false">
      <c r="A40" s="2"/>
      <c r="B40" s="5" t="s">
        <v>2824</v>
      </c>
      <c r="C40" s="2"/>
      <c r="D40" s="108" t="n">
        <f aca="false">Entrées!$C$189</f>
        <v>1.45</v>
      </c>
      <c r="E40" s="108" t="n">
        <f aca="false">Entrées!$C$190</f>
        <v>1.574</v>
      </c>
      <c r="F40" s="108" t="n">
        <f aca="false">Entrées!$C$191</f>
        <v>1.5</v>
      </c>
      <c r="G40" s="109" t="n">
        <f aca="false">F40-E40</f>
        <v>-0.0740000000000001</v>
      </c>
      <c r="H40" s="2"/>
      <c r="I40" s="2"/>
      <c r="J40" s="2"/>
      <c r="K40" s="2"/>
      <c r="L40" s="24" t="s">
        <v>2825</v>
      </c>
    </row>
    <row r="41" customFormat="false" ht="15" hidden="false" customHeight="false" outlineLevel="0" collapsed="false">
      <c r="A41" s="2"/>
      <c r="B41" s="5" t="s">
        <v>2826</v>
      </c>
      <c r="C41" s="2"/>
      <c r="D41" s="61" t="n">
        <f aca="false">Entrées!$C$38</f>
        <v>9196</v>
      </c>
      <c r="E41" s="61" t="n">
        <f aca="false">Entrées!$C$39</f>
        <v>9181</v>
      </c>
      <c r="F41" s="61" t="n">
        <f aca="false">Entrées!$C$40*1000</f>
        <v>9000</v>
      </c>
      <c r="G41" s="64" t="n">
        <f aca="false">F41-E41</f>
        <v>-181</v>
      </c>
      <c r="H41" s="2"/>
      <c r="I41" s="2"/>
      <c r="J41" s="2"/>
      <c r="K41" s="2"/>
      <c r="L41" s="24" t="s">
        <v>2827</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2828</v>
      </c>
      <c r="B1" s="2"/>
      <c r="C1" s="2"/>
      <c r="D1" s="2"/>
      <c r="E1" s="2"/>
      <c r="F1" s="2"/>
    </row>
    <row r="2" customFormat="false" ht="15" hidden="false" customHeight="false" outlineLevel="0" collapsed="false">
      <c r="A2" s="3" t="s">
        <v>2829</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2130</v>
      </c>
      <c r="B4" s="22" t="s">
        <v>2830</v>
      </c>
      <c r="C4" s="2"/>
      <c r="D4" s="2"/>
      <c r="E4" s="2"/>
      <c r="F4" s="2"/>
    </row>
    <row r="5" customFormat="false" ht="15" hidden="false" customHeight="false" outlineLevel="0" collapsed="false">
      <c r="A5" s="21"/>
      <c r="B5" s="21" t="s">
        <v>91</v>
      </c>
      <c r="C5" s="21" t="s">
        <v>92</v>
      </c>
      <c r="D5" s="21" t="s">
        <v>93</v>
      </c>
      <c r="E5" s="21" t="s">
        <v>2129</v>
      </c>
      <c r="F5" s="2"/>
    </row>
    <row r="6" customFormat="false" ht="15" hidden="false" customHeight="false" outlineLevel="0" collapsed="false">
      <c r="A6" s="2"/>
      <c r="B6" s="5" t="s">
        <v>2831</v>
      </c>
      <c r="C6" s="64" t="n">
        <f aca="false">Entrées!$C$423*1000</f>
        <v>6500</v>
      </c>
      <c r="D6" s="24" t="s">
        <v>103</v>
      </c>
      <c r="E6" s="24" t="s">
        <v>1319</v>
      </c>
      <c r="F6" s="2"/>
    </row>
    <row r="7" customFormat="false" ht="15" hidden="false" customHeight="false" outlineLevel="0" collapsed="false">
      <c r="A7" s="2"/>
      <c r="B7" s="5" t="s">
        <v>2832</v>
      </c>
      <c r="C7" s="64" t="n">
        <f aca="false">Entrées!$C$17*1000</f>
        <v>8000</v>
      </c>
      <c r="D7" s="24" t="s">
        <v>103</v>
      </c>
      <c r="E7" s="24" t="s">
        <v>154</v>
      </c>
      <c r="F7" s="2"/>
    </row>
    <row r="8" customFormat="false" ht="15" hidden="false" customHeight="false" outlineLevel="0" collapsed="false">
      <c r="A8" s="2"/>
      <c r="B8" s="22" t="s">
        <v>2833</v>
      </c>
      <c r="C8" s="45" t="n">
        <f aca="false">C7-C6</f>
        <v>1500</v>
      </c>
      <c r="D8" s="24" t="s">
        <v>103</v>
      </c>
      <c r="E8" s="24" t="s">
        <v>2834</v>
      </c>
      <c r="F8" s="2"/>
    </row>
    <row r="9" customFormat="false" ht="15" hidden="false" customHeight="false" outlineLevel="0" collapsed="false">
      <c r="A9" s="2"/>
      <c r="B9" s="5" t="s">
        <v>2835</v>
      </c>
      <c r="C9" s="66" t="n">
        <f aca="false">(C7/C6)^(1/4)-1</f>
        <v>0.0532807756958533</v>
      </c>
      <c r="D9" s="24" t="s">
        <v>299</v>
      </c>
      <c r="E9" s="24" t="s">
        <v>2836</v>
      </c>
      <c r="F9" s="2"/>
    </row>
    <row r="10" customFormat="false" ht="15" hidden="false" customHeight="false" outlineLevel="0" collapsed="false">
      <c r="A10" s="2"/>
      <c r="B10" s="5" t="s">
        <v>2837</v>
      </c>
      <c r="C10" s="66" t="n">
        <f aca="false">Entrées!$C$424/100</f>
        <v>0.05</v>
      </c>
      <c r="D10" s="24" t="s">
        <v>299</v>
      </c>
      <c r="E10" s="24" t="s">
        <v>1321</v>
      </c>
      <c r="F10" s="2"/>
    </row>
    <row r="11" customFormat="false" ht="15" hidden="false" customHeight="false" outlineLevel="0" collapsed="false">
      <c r="A11" s="2"/>
      <c r="B11" s="5" t="s">
        <v>2838</v>
      </c>
      <c r="C11" s="61" t="n">
        <f aca="false">Entrées!$C$425</f>
        <v>350</v>
      </c>
      <c r="D11" s="24" t="s">
        <v>103</v>
      </c>
      <c r="E11" s="24" t="s">
        <v>1324</v>
      </c>
      <c r="F11" s="2"/>
    </row>
    <row r="12" customFormat="false" ht="15" hidden="false" customHeight="false" outlineLevel="0" collapsed="false">
      <c r="A12" s="2"/>
      <c r="B12" s="22" t="s">
        <v>2839</v>
      </c>
      <c r="C12" s="45" t="n">
        <f aca="false">4*C11</f>
        <v>1400</v>
      </c>
      <c r="D12" s="24" t="s">
        <v>103</v>
      </c>
      <c r="E12" s="24" t="s">
        <v>2840</v>
      </c>
      <c r="F12" s="2"/>
    </row>
    <row r="13" customFormat="false" ht="15" hidden="false" customHeight="false" outlineLevel="0" collapsed="false">
      <c r="A13" s="2"/>
      <c r="B13" s="22" t="s">
        <v>2841</v>
      </c>
      <c r="C13" s="41" t="n">
        <f aca="false">C12/'Pont EBITDA'!$C$8</f>
        <v>0.933333333333333</v>
      </c>
      <c r="D13" s="24" t="s">
        <v>299</v>
      </c>
      <c r="E13" s="24" t="s">
        <v>2842</v>
      </c>
      <c r="F13" s="2"/>
    </row>
    <row r="14" customFormat="false" ht="15" hidden="false" customHeight="false" outlineLevel="0" collapsed="false">
      <c r="A14" s="2"/>
      <c r="B14" s="5" t="s">
        <v>2843</v>
      </c>
      <c r="C14" s="61" t="n">
        <f aca="false">Entrées!$C$426</f>
        <v>200</v>
      </c>
      <c r="D14" s="24" t="s">
        <v>103</v>
      </c>
      <c r="E14" s="24" t="s">
        <v>1327</v>
      </c>
      <c r="F14" s="2"/>
    </row>
    <row r="15" customFormat="false" ht="15" hidden="false" customHeight="false" outlineLevel="0" collapsed="false">
      <c r="A15" s="2"/>
      <c r="B15" s="5" t="s">
        <v>2844</v>
      </c>
      <c r="C15" s="61" t="n">
        <f aca="false">Entrées!$C$427</f>
        <v>500</v>
      </c>
      <c r="D15" s="24" t="s">
        <v>103</v>
      </c>
      <c r="E15" s="24" t="s">
        <v>2845</v>
      </c>
      <c r="F15" s="2"/>
    </row>
    <row r="16" customFormat="false" ht="15" hidden="false" customHeight="false" outlineLevel="0" collapsed="false">
      <c r="A16" s="2"/>
      <c r="B16" s="22" t="s">
        <v>2846</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2143</v>
      </c>
      <c r="B19" s="22" t="s">
        <v>2847</v>
      </c>
      <c r="C19" s="2"/>
      <c r="D19" s="2"/>
      <c r="E19" s="2"/>
      <c r="F19" s="2"/>
    </row>
    <row r="20" customFormat="false" ht="15" hidden="false" customHeight="false" outlineLevel="0" collapsed="false">
      <c r="A20" s="21"/>
      <c r="B20" s="21" t="s">
        <v>91</v>
      </c>
      <c r="C20" s="21" t="s">
        <v>170</v>
      </c>
      <c r="D20" s="21" t="s">
        <v>225</v>
      </c>
      <c r="E20" s="21" t="s">
        <v>2129</v>
      </c>
      <c r="F20" s="2"/>
    </row>
    <row r="21" customFormat="false" ht="15" hidden="false" customHeight="false" outlineLevel="0" collapsed="false">
      <c r="A21" s="2"/>
      <c r="B21" s="5" t="s">
        <v>2848</v>
      </c>
      <c r="C21" s="61" t="n">
        <f aca="false">Entrées!$C$8</f>
        <v>7050</v>
      </c>
      <c r="D21" s="61" t="n">
        <f aca="false">Entrées!$C$22</f>
        <v>6788</v>
      </c>
      <c r="E21" s="24" t="s">
        <v>2247</v>
      </c>
      <c r="F21" s="2"/>
    </row>
    <row r="22" customFormat="false" ht="15" hidden="false" customHeight="false" outlineLevel="0" collapsed="false">
      <c r="A22" s="2"/>
      <c r="B22" s="5" t="s">
        <v>2849</v>
      </c>
      <c r="C22" s="61" t="n">
        <f aca="false">Entrées!$C$22</f>
        <v>6788</v>
      </c>
      <c r="D22" s="61" t="n">
        <f aca="false">'Pont EBITDA'!$C$6</f>
        <v>6500</v>
      </c>
      <c r="E22" s="24" t="s">
        <v>2850</v>
      </c>
      <c r="F22" s="2"/>
    </row>
    <row r="23" customFormat="false" ht="15" hidden="false" customHeight="false" outlineLevel="0" collapsed="false">
      <c r="A23" s="2"/>
      <c r="B23" s="5" t="s">
        <v>2851</v>
      </c>
      <c r="C23" s="72" t="n">
        <f aca="false">Entrées!$C$430/100</f>
        <v>0.063</v>
      </c>
      <c r="D23" s="107" t="s">
        <v>2519</v>
      </c>
      <c r="E23" s="24" t="s">
        <v>1338</v>
      </c>
      <c r="F23" s="2"/>
    </row>
    <row r="24" customFormat="false" ht="15" hidden="false" customHeight="false" outlineLevel="0" collapsed="false">
      <c r="A24" s="2"/>
      <c r="B24" s="22" t="s">
        <v>2852</v>
      </c>
      <c r="C24" s="45" t="n">
        <f aca="false">C23*D21</f>
        <v>427.644</v>
      </c>
      <c r="D24" s="107" t="s">
        <v>2519</v>
      </c>
      <c r="E24" s="24" t="s">
        <v>2853</v>
      </c>
      <c r="F24" s="2"/>
    </row>
    <row r="25" customFormat="false" ht="15" hidden="false" customHeight="false" outlineLevel="0" collapsed="false">
      <c r="A25" s="2"/>
      <c r="B25" s="5" t="s">
        <v>2854</v>
      </c>
      <c r="C25" s="61" t="n">
        <f aca="false">Entrées!$C$429</f>
        <v>399</v>
      </c>
      <c r="D25" s="61" t="n">
        <f aca="false">Entrées!$C$193</f>
        <v>398</v>
      </c>
      <c r="E25" s="24" t="s">
        <v>2855</v>
      </c>
      <c r="F25" s="2"/>
    </row>
    <row r="26" customFormat="false" ht="15" hidden="false" customHeight="false" outlineLevel="0" collapsed="false">
      <c r="A26" s="2"/>
      <c r="B26" s="5" t="s">
        <v>2856</v>
      </c>
      <c r="C26" s="64" t="n">
        <f aca="false">Entrées!$C$196-Entrées!$C$194</f>
        <v>99</v>
      </c>
      <c r="D26" s="107" t="s">
        <v>2519</v>
      </c>
      <c r="E26" s="24" t="s">
        <v>2857</v>
      </c>
      <c r="F26" s="2"/>
    </row>
    <row r="27" customFormat="false" ht="15" hidden="false" customHeight="false" outlineLevel="0" collapsed="false">
      <c r="A27" s="2"/>
      <c r="B27" s="22" t="s">
        <v>2858</v>
      </c>
      <c r="C27" s="45" t="n">
        <f aca="false">C25+C26</f>
        <v>498</v>
      </c>
      <c r="D27" s="107" t="s">
        <v>2519</v>
      </c>
      <c r="E27" s="24"/>
      <c r="F27" s="2"/>
    </row>
    <row r="28" customFormat="false" ht="15" hidden="false" customHeight="false" outlineLevel="0" collapsed="false">
      <c r="A28" s="2"/>
      <c r="B28" s="22" t="s">
        <v>2859</v>
      </c>
      <c r="C28" s="41" t="n">
        <f aca="false">C25/'Pont EBITDA'!$C$24</f>
        <v>0.933019053231192</v>
      </c>
      <c r="D28" s="107" t="s">
        <v>2519</v>
      </c>
      <c r="E28" s="24" t="s">
        <v>2860</v>
      </c>
      <c r="F28" s="2"/>
    </row>
    <row r="29" customFormat="false" ht="15" hidden="false" customHeight="false" outlineLevel="0" collapsed="false">
      <c r="A29" s="2"/>
      <c r="B29" s="22" t="s">
        <v>2861</v>
      </c>
      <c r="C29" s="45" t="n">
        <f aca="false">'Pont EBITDA'!$C$24-C27</f>
        <v>-70.356</v>
      </c>
      <c r="D29" s="107" t="s">
        <v>2519</v>
      </c>
      <c r="E29" s="24" t="s">
        <v>2862</v>
      </c>
      <c r="F29" s="2"/>
    </row>
    <row r="30" customFormat="false" ht="15" hidden="false" customHeight="false" outlineLevel="0" collapsed="false">
      <c r="A30" s="2"/>
      <c r="B30" s="5" t="s">
        <v>2863</v>
      </c>
      <c r="C30" s="72" t="n">
        <f aca="false">Entrées!$C$431/100</f>
        <v>0.159</v>
      </c>
      <c r="D30" s="107" t="s">
        <v>2519</v>
      </c>
      <c r="E30" s="24" t="s">
        <v>1341</v>
      </c>
      <c r="F30" s="2"/>
    </row>
    <row r="31" customFormat="false" ht="15" hidden="false" customHeight="false" outlineLevel="0" collapsed="false">
      <c r="A31" s="2"/>
      <c r="B31" s="22" t="s">
        <v>2864</v>
      </c>
      <c r="C31" s="2"/>
      <c r="D31" s="2"/>
      <c r="E31" s="2"/>
      <c r="F31" s="2"/>
    </row>
    <row r="32" customFormat="false" ht="15" hidden="false" customHeight="false" outlineLevel="0" collapsed="false">
      <c r="A32" s="2"/>
      <c r="B32" s="5" t="s">
        <v>2865</v>
      </c>
      <c r="C32" s="64" t="n">
        <f aca="false">Entrées!$C$436*Entrées!$C$437/100</f>
        <v>258.384</v>
      </c>
      <c r="D32" s="107" t="s">
        <v>2519</v>
      </c>
      <c r="E32" s="24" t="s">
        <v>2866</v>
      </c>
      <c r="F32" s="2"/>
    </row>
    <row r="33" customFormat="false" ht="15" hidden="false" customHeight="false" outlineLevel="0" collapsed="false">
      <c r="A33" s="2"/>
      <c r="B33" s="5" t="s">
        <v>2867</v>
      </c>
      <c r="C33" s="64" t="n">
        <f aca="false">Entrées!$C$176*Entrées!$C$175/100</f>
        <v>201.828</v>
      </c>
      <c r="D33" s="107" t="s">
        <v>2519</v>
      </c>
      <c r="E33" s="24" t="s">
        <v>2868</v>
      </c>
      <c r="F33" s="2"/>
    </row>
    <row r="34" customFormat="false" ht="15" hidden="false" customHeight="false" outlineLevel="0" collapsed="false">
      <c r="A34" s="2"/>
      <c r="B34" s="22" t="s">
        <v>2869</v>
      </c>
      <c r="C34" s="45" t="n">
        <f aca="false">C32+C33</f>
        <v>460.212</v>
      </c>
      <c r="D34" s="107" t="s">
        <v>2519</v>
      </c>
      <c r="E34" s="24" t="s">
        <v>2870</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2308</v>
      </c>
      <c r="B37" s="22" t="s">
        <v>2871</v>
      </c>
      <c r="C37" s="2"/>
      <c r="D37" s="2"/>
      <c r="E37" s="2"/>
      <c r="F37" s="2"/>
    </row>
    <row r="38" customFormat="false" ht="15" hidden="false" customHeight="false" outlineLevel="0" collapsed="false">
      <c r="A38" s="21"/>
      <c r="B38" s="21" t="s">
        <v>2872</v>
      </c>
      <c r="C38" s="21" t="s">
        <v>2568</v>
      </c>
      <c r="D38" s="21" t="s">
        <v>2595</v>
      </c>
      <c r="E38" s="21" t="s">
        <v>2596</v>
      </c>
      <c r="F38" s="21" t="s">
        <v>2873</v>
      </c>
    </row>
    <row r="39" customFormat="false" ht="15" hidden="false" customHeight="false" outlineLevel="0" collapsed="false">
      <c r="A39" s="2"/>
      <c r="B39" s="22" t="s">
        <v>2874</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2875</v>
      </c>
      <c r="C40" s="64" t="n">
        <f aca="false">Trajectoire!$D$27-Entrées!$C$8</f>
        <v>387.75</v>
      </c>
      <c r="D40" s="64" t="n">
        <f aca="false">Trajectoire!$AE$27-Entrées!$C$8</f>
        <v>352.5</v>
      </c>
      <c r="E40" s="64" t="n">
        <f aca="false">Trajectoire!$AF$27-Entrées!$C$8</f>
        <v>423</v>
      </c>
      <c r="F40" s="24" t="s">
        <v>2876</v>
      </c>
    </row>
    <row r="41" customFormat="false" ht="15" hidden="false" customHeight="false" outlineLevel="0" collapsed="false">
      <c r="A41" s="2"/>
      <c r="B41" s="5" t="s">
        <v>2877</v>
      </c>
      <c r="C41" s="61" t="n">
        <f aca="false">Trajectoire!$D$28</f>
        <v>99.2193598750976</v>
      </c>
      <c r="D41" s="61" t="n">
        <f aca="false">Trajectoire!$AE$28</f>
        <v>89.2974238875878</v>
      </c>
      <c r="E41" s="61" t="n">
        <f aca="false">Trajectoire!$AF$28</f>
        <v>109.141295862607</v>
      </c>
      <c r="F41" s="24" t="s">
        <v>2601</v>
      </c>
    </row>
    <row r="42" customFormat="false" ht="15" hidden="false" customHeight="false" outlineLevel="0" collapsed="false">
      <c r="A42" s="2"/>
      <c r="B42" s="5" t="s">
        <v>2878</v>
      </c>
      <c r="C42" s="61" t="n">
        <f aca="false">Trajectoire!$D$30</f>
        <v>-25</v>
      </c>
      <c r="D42" s="61" t="n">
        <f aca="false">Trajectoire!$AE$30</f>
        <v>-62.5</v>
      </c>
      <c r="E42" s="61" t="n">
        <f aca="false">Trajectoire!$AF$30</f>
        <v>-0</v>
      </c>
      <c r="F42" s="24" t="s">
        <v>2605</v>
      </c>
    </row>
    <row r="43" customFormat="false" ht="15" hidden="false" customHeight="false" outlineLevel="0" collapsed="false">
      <c r="A43" s="2"/>
      <c r="B43" s="22" t="s">
        <v>2879</v>
      </c>
      <c r="C43" s="68" t="n">
        <f aca="false">Trajectoire!$D$31</f>
        <v>7511.9693598751</v>
      </c>
      <c r="D43" s="68" t="n">
        <f aca="false">Trajectoire!$AE$31</f>
        <v>7429.29742388759</v>
      </c>
      <c r="E43" s="68" t="n">
        <f aca="false">Trajectoire!$AF$31</f>
        <v>7582.14129586261</v>
      </c>
      <c r="F43" s="24" t="s">
        <v>2607</v>
      </c>
    </row>
    <row r="44" customFormat="false" ht="15" hidden="false" customHeight="false" outlineLevel="0" collapsed="false">
      <c r="A44" s="2"/>
      <c r="B44" s="5" t="s">
        <v>2880</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2881</v>
      </c>
    </row>
    <row r="45" customFormat="false" ht="15" hidden="false" customHeight="false" outlineLevel="0" collapsed="false">
      <c r="A45" s="2"/>
      <c r="B45" s="5" t="s">
        <v>2882</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2883</v>
      </c>
    </row>
    <row r="46" customFormat="false" ht="15" hidden="false" customHeight="false" outlineLevel="0" collapsed="false">
      <c r="A46" s="2"/>
      <c r="B46" s="5" t="s">
        <v>2884</v>
      </c>
      <c r="C46" s="61" t="n">
        <f aca="false">Trajectoire!$D$37</f>
        <v>25.513549682168</v>
      </c>
      <c r="D46" s="61" t="n">
        <f aca="false">Trajectoire!$AE$37</f>
        <v>0</v>
      </c>
      <c r="E46" s="61" t="n">
        <f aca="false">Trajectoire!$AF$37</f>
        <v>51.0270993643359</v>
      </c>
      <c r="F46" s="24" t="s">
        <v>2617</v>
      </c>
    </row>
    <row r="47" customFormat="false" ht="15" hidden="false" customHeight="false" outlineLevel="0" collapsed="false">
      <c r="A47" s="2"/>
      <c r="B47" s="5" t="s">
        <v>2885</v>
      </c>
      <c r="C47" s="61" t="n">
        <f aca="false">Trajectoire!$D$38</f>
        <v>51.0204081632653</v>
      </c>
      <c r="D47" s="61" t="n">
        <f aca="false">Trajectoire!$AE$38</f>
        <v>90.9090909090909</v>
      </c>
      <c r="E47" s="61" t="n">
        <f aca="false">Trajectoire!$AF$38</f>
        <v>0</v>
      </c>
      <c r="F47" s="24" t="s">
        <v>2619</v>
      </c>
    </row>
    <row r="48" customFormat="false" ht="15" hidden="false" customHeight="false" outlineLevel="0" collapsed="false">
      <c r="A48" s="2"/>
      <c r="B48" s="5" t="s">
        <v>2886</v>
      </c>
      <c r="C48" s="61" t="n">
        <f aca="false">Trajectoire!$D$40</f>
        <v>-95</v>
      </c>
      <c r="D48" s="61" t="n">
        <f aca="false">Trajectoire!$AE$40</f>
        <v>-0</v>
      </c>
      <c r="E48" s="61" t="n">
        <f aca="false">Trajectoire!$AF$40</f>
        <v>-158.333333333333</v>
      </c>
      <c r="F48" s="24" t="s">
        <v>2623</v>
      </c>
    </row>
    <row r="49" customFormat="false" ht="15" hidden="false" customHeight="false" outlineLevel="0" collapsed="false">
      <c r="A49" s="2"/>
      <c r="B49" s="22" t="s">
        <v>2887</v>
      </c>
      <c r="C49" s="45" t="n">
        <f aca="false">C39+SUM(C40:C42)+SUM(C44:C48)</f>
        <v>7981.43050727668</v>
      </c>
      <c r="D49" s="45" t="n">
        <f aca="false">D39+SUM(D40:D42)+SUM(D44:D48)</f>
        <v>7883.71364092582</v>
      </c>
      <c r="E49" s="45" t="n">
        <f aca="false">E39+SUM(E40:E42)+SUM(E44:E48)</f>
        <v>8089.00008587041</v>
      </c>
      <c r="F49" s="24" t="s">
        <v>2199</v>
      </c>
    </row>
    <row r="50" customFormat="false" ht="15" hidden="false" customHeight="false" outlineLevel="0" collapsed="false">
      <c r="A50" s="2"/>
      <c r="B50" s="5" t="s">
        <v>2888</v>
      </c>
      <c r="C50" s="61" t="n">
        <f aca="false">Trajectoire!$D$41</f>
        <v>7981.43050727668</v>
      </c>
      <c r="D50" s="61" t="n">
        <f aca="false">Trajectoire!$AE$41</f>
        <v>7883.71364092582</v>
      </c>
      <c r="E50" s="61" t="n">
        <f aca="false">Trajectoire!$AF$41</f>
        <v>8089.00008587041</v>
      </c>
      <c r="F50" s="24" t="s">
        <v>2625</v>
      </c>
    </row>
    <row r="51" customFormat="false" ht="15" hidden="false" customHeight="false" outlineLevel="0" collapsed="false">
      <c r="A51" s="2"/>
      <c r="B51" s="5" t="s">
        <v>2889</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2890</v>
      </c>
      <c r="C52" s="68" t="n">
        <f aca="false">Trajectoire!$D$48</f>
        <v>-18.5694927233199</v>
      </c>
      <c r="D52" s="68" t="n">
        <f aca="false">Trajectoire!$AE$48</f>
        <v>-116.286359074181</v>
      </c>
      <c r="E52" s="68" t="n">
        <f aca="false">Trajectoire!$AF$48</f>
        <v>89.0000858704143</v>
      </c>
      <c r="F52" s="24" t="s">
        <v>2639</v>
      </c>
    </row>
    <row r="53" customFormat="false" ht="30" hidden="false" customHeight="true" outlineLevel="0" collapsed="false">
      <c r="A53" s="2"/>
      <c r="B53" s="69" t="s">
        <v>2891</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2457</v>
      </c>
      <c r="B55" s="22" t="s">
        <v>2892</v>
      </c>
      <c r="C55" s="2"/>
      <c r="D55" s="2"/>
      <c r="E55" s="2"/>
      <c r="F55" s="2"/>
    </row>
    <row r="56" customFormat="false" ht="15" hidden="false" customHeight="false" outlineLevel="0" collapsed="false">
      <c r="A56" s="21"/>
      <c r="B56" s="21" t="s">
        <v>91</v>
      </c>
      <c r="C56" s="21" t="s">
        <v>92</v>
      </c>
      <c r="D56" s="21" t="s">
        <v>93</v>
      </c>
      <c r="E56" s="21" t="s">
        <v>2129</v>
      </c>
      <c r="F56" s="2"/>
    </row>
    <row r="57" customFormat="false" ht="15" hidden="false" customHeight="false" outlineLevel="0" collapsed="false">
      <c r="A57" s="2"/>
      <c r="B57" s="5" t="s">
        <v>2893</v>
      </c>
      <c r="C57" s="61" t="n">
        <f aca="false">Entrées!$C$425</f>
        <v>350</v>
      </c>
      <c r="D57" s="24" t="s">
        <v>103</v>
      </c>
      <c r="E57" s="24" t="s">
        <v>1324</v>
      </c>
      <c r="F57" s="2"/>
    </row>
    <row r="58" customFormat="false" ht="15" hidden="false" customHeight="false" outlineLevel="0" collapsed="false">
      <c r="A58" s="2"/>
      <c r="B58" s="5" t="s">
        <v>2894</v>
      </c>
      <c r="C58" s="64" t="n">
        <f aca="false">'Pont EBITDA'!$C$40</f>
        <v>387.75</v>
      </c>
      <c r="D58" s="24" t="s">
        <v>103</v>
      </c>
      <c r="E58" s="24" t="s">
        <v>2895</v>
      </c>
      <c r="F58" s="2"/>
    </row>
    <row r="59" customFormat="false" ht="15" hidden="false" customHeight="false" outlineLevel="0" collapsed="false">
      <c r="A59" s="2"/>
      <c r="B59" s="22" t="s">
        <v>2896</v>
      </c>
      <c r="C59" s="41" t="n">
        <f aca="false">'Pont EBITDA'!$C$57/'Pont EBITDA'!$C$58</f>
        <v>0.902643455834945</v>
      </c>
      <c r="D59" s="24" t="s">
        <v>299</v>
      </c>
      <c r="E59" s="24" t="s">
        <v>2897</v>
      </c>
      <c r="F59" s="2"/>
    </row>
    <row r="60" customFormat="false" ht="15" hidden="false" customHeight="false" outlineLevel="0" collapsed="false">
      <c r="A60" s="2"/>
      <c r="B60" s="5" t="s">
        <v>2898</v>
      </c>
      <c r="C60" s="64" t="n">
        <f aca="false">'Pont EBITDA'!$C$44</f>
        <v>417.056218216794</v>
      </c>
      <c r="D60" s="24" t="s">
        <v>103</v>
      </c>
      <c r="E60" s="24" t="s">
        <v>2895</v>
      </c>
      <c r="F60" s="2"/>
    </row>
    <row r="61" customFormat="false" ht="15" hidden="false" customHeight="false" outlineLevel="0" collapsed="false">
      <c r="A61" s="2"/>
      <c r="B61" s="22" t="s">
        <v>2899</v>
      </c>
      <c r="C61" s="41" t="n">
        <f aca="false">'Pont EBITDA'!$C$57/'Pont EBITDA'!$C$60</f>
        <v>0.839215397618321</v>
      </c>
      <c r="D61" s="24" t="s">
        <v>299</v>
      </c>
      <c r="E61" s="24" t="s">
        <v>2900</v>
      </c>
      <c r="F61" s="2"/>
    </row>
    <row r="62" customFormat="false" ht="15" hidden="false" customHeight="false" outlineLevel="0" collapsed="false">
      <c r="A62" s="2"/>
      <c r="B62" s="22" t="s">
        <v>2901</v>
      </c>
      <c r="C62" s="43" t="n">
        <v>1</v>
      </c>
      <c r="D62" s="24" t="s">
        <v>299</v>
      </c>
      <c r="E62" s="24" t="s">
        <v>2902</v>
      </c>
      <c r="F62" s="2"/>
    </row>
    <row r="63" customFormat="false" ht="15" hidden="false" customHeight="false" outlineLevel="0" collapsed="false">
      <c r="A63" s="2"/>
      <c r="B63" s="22" t="s">
        <v>2903</v>
      </c>
      <c r="C63" s="45" t="n">
        <f aca="false">-(1-'Pont EBITDA'!$C$62)*2*'Pont EBITDA'!$C$57</f>
        <v>-0</v>
      </c>
      <c r="D63" s="24" t="s">
        <v>103</v>
      </c>
      <c r="E63" s="24" t="s">
        <v>2904</v>
      </c>
      <c r="F63" s="2"/>
    </row>
    <row r="64" customFormat="false" ht="15" hidden="false" customHeight="false" outlineLevel="0" collapsed="false">
      <c r="A64" s="2"/>
      <c r="B64" s="22" t="s">
        <v>2905</v>
      </c>
      <c r="C64" s="45" t="n">
        <f aca="false">Trajectoire!$D$41+'Pont EBITDA'!$C$63</f>
        <v>7981.43050727668</v>
      </c>
      <c r="D64" s="24" t="s">
        <v>103</v>
      </c>
      <c r="E64" s="24" t="s">
        <v>2906</v>
      </c>
      <c r="F64" s="2"/>
    </row>
    <row r="65" customFormat="false" ht="15" hidden="false" customHeight="false" outlineLevel="0" collapsed="false">
      <c r="A65" s="2"/>
      <c r="B65" s="22" t="s">
        <v>2907</v>
      </c>
      <c r="C65" s="62" t="n">
        <f aca="false">Trajectoire!$D$44/'Pont EBITDA'!$C$64</f>
        <v>2.80320887741352</v>
      </c>
      <c r="D65" s="24" t="s">
        <v>133</v>
      </c>
      <c r="E65" s="24" t="s">
        <v>2908</v>
      </c>
      <c r="F65" s="2"/>
    </row>
    <row r="66" customFormat="false" ht="15" hidden="false" customHeight="false" outlineLevel="0" collapsed="false">
      <c r="A66" s="2"/>
      <c r="B66" s="22" t="s">
        <v>2909</v>
      </c>
      <c r="C66" s="45" t="n">
        <f aca="false">Hypothèses!$J$26*'Pont EBITDA'!$C$64-Trajectoire!$D$44</f>
        <v>1570.67466937297</v>
      </c>
      <c r="D66" s="24" t="s">
        <v>103</v>
      </c>
      <c r="E66" s="24" t="s">
        <v>2910</v>
      </c>
      <c r="F66" s="2"/>
    </row>
    <row r="67" customFormat="false" ht="15" hidden="false" customHeight="false" outlineLevel="0" collapsed="false">
      <c r="A67" s="2"/>
      <c r="B67" s="5" t="s">
        <v>2911</v>
      </c>
      <c r="C67" s="61" t="n">
        <f aca="false">Trajectoire!$D$46</f>
        <v>1570.67466937297</v>
      </c>
      <c r="D67" s="24" t="s">
        <v>103</v>
      </c>
      <c r="E67" s="24" t="s">
        <v>2912</v>
      </c>
      <c r="F67" s="2"/>
    </row>
    <row r="68" customFormat="false" ht="15" hidden="false" customHeight="false" outlineLevel="0" collapsed="false">
      <c r="A68" s="2"/>
      <c r="B68" s="22" t="s">
        <v>2913</v>
      </c>
      <c r="C68" s="2"/>
      <c r="D68" s="2"/>
      <c r="E68" s="2"/>
      <c r="F68" s="2"/>
    </row>
    <row r="69" customFormat="false" ht="23.85" hidden="false" customHeight="false" outlineLevel="0" collapsed="false">
      <c r="A69" s="21"/>
      <c r="B69" s="21" t="s">
        <v>2914</v>
      </c>
      <c r="C69" s="21" t="s">
        <v>2626</v>
      </c>
      <c r="D69" s="21" t="s">
        <v>2311</v>
      </c>
      <c r="E69" s="21" t="s">
        <v>2915</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2475</v>
      </c>
      <c r="B77" s="22" t="s">
        <v>2916</v>
      </c>
      <c r="C77" s="2"/>
      <c r="D77" s="2"/>
      <c r="E77" s="2"/>
      <c r="F77" s="2"/>
    </row>
    <row r="78" customFormat="false" ht="15" hidden="false" customHeight="false" outlineLevel="0" collapsed="false">
      <c r="A78" s="21"/>
      <c r="B78" s="21" t="s">
        <v>2917</v>
      </c>
      <c r="C78" s="21" t="s">
        <v>2918</v>
      </c>
      <c r="D78" s="21" t="s">
        <v>2919</v>
      </c>
      <c r="E78" s="21" t="s">
        <v>2920</v>
      </c>
      <c r="F78" s="21" t="s">
        <v>2048</v>
      </c>
    </row>
    <row r="79" customFormat="false" ht="15" hidden="false" customHeight="false" outlineLevel="0" collapsed="false">
      <c r="A79" s="2"/>
      <c r="B79" s="5" t="s">
        <v>2921</v>
      </c>
      <c r="C79" s="78" t="n">
        <f aca="false">Entrées!$C$581</f>
        <v>4.7</v>
      </c>
      <c r="D79" s="78" t="n">
        <f aca="false">Entrées!$C$583</f>
        <v>6.5</v>
      </c>
      <c r="E79" s="111" t="str">
        <f aca="false">IF(D79&gt;=C79,"oui","non")</f>
        <v>oui</v>
      </c>
      <c r="F79" s="24" t="s">
        <v>2922</v>
      </c>
    </row>
    <row r="80" customFormat="false" ht="15" hidden="false" customHeight="false" outlineLevel="0" collapsed="false">
      <c r="A80" s="2"/>
      <c r="B80" s="5" t="s">
        <v>2923</v>
      </c>
      <c r="C80" s="61" t="n">
        <f aca="false">Entrées!$C$584*1000</f>
        <v>1000</v>
      </c>
      <c r="D80" s="78" t="n">
        <f aca="false">Entrées!$C$585</f>
        <v>1335</v>
      </c>
      <c r="E80" s="111" t="str">
        <f aca="false">IF(D80&gt;=C80,"oui","non")</f>
        <v>oui</v>
      </c>
      <c r="F80" s="24" t="s">
        <v>2924</v>
      </c>
    </row>
    <row r="81" customFormat="false" ht="15" hidden="false" customHeight="false" outlineLevel="0" collapsed="false">
      <c r="A81" s="2"/>
      <c r="B81" s="5" t="s">
        <v>2925</v>
      </c>
      <c r="C81" s="78" t="n">
        <f aca="false">Entrées!$C$587</f>
        <v>4</v>
      </c>
      <c r="D81" s="78" t="n">
        <f aca="false">Entrées!$C$588</f>
        <v>4.2</v>
      </c>
      <c r="E81" s="111" t="str">
        <f aca="false">IF(D81&gt;=C81,"oui","non")</f>
        <v>oui</v>
      </c>
      <c r="F81" s="24" t="s">
        <v>2926</v>
      </c>
    </row>
    <row r="82" customFormat="false" ht="15" hidden="false" customHeight="false" outlineLevel="0" collapsed="false">
      <c r="A82" s="2"/>
      <c r="B82" s="5" t="s">
        <v>2927</v>
      </c>
      <c r="C82" s="78" t="n">
        <f aca="false">Entrées!$C$589</f>
        <v>15</v>
      </c>
      <c r="D82" s="78" t="n">
        <f aca="false">Entrées!$C$590</f>
        <v>15.5</v>
      </c>
      <c r="E82" s="111" t="str">
        <f aca="false">IF(D82&gt;=C82,"oui","non")</f>
        <v>oui</v>
      </c>
      <c r="F82" s="24" t="s">
        <v>2928</v>
      </c>
    </row>
    <row r="83" customFormat="false" ht="15" hidden="false" customHeight="false" outlineLevel="0" collapsed="false">
      <c r="A83" s="2"/>
      <c r="B83" s="5" t="s">
        <v>2929</v>
      </c>
      <c r="C83" s="78" t="n">
        <f aca="false">Entrées!$C$591</f>
        <v>610</v>
      </c>
      <c r="D83" s="78" t="n">
        <f aca="false">Entrées!$C$592</f>
        <v>465</v>
      </c>
      <c r="E83" s="111" t="str">
        <f aca="false">IF(D83&gt;=C83,"oui","non")</f>
        <v>non</v>
      </c>
      <c r="F83" s="24" t="s">
        <v>2930</v>
      </c>
    </row>
    <row r="84" customFormat="false" ht="15" hidden="false" customHeight="false" outlineLevel="0" collapsed="false">
      <c r="A84" s="2"/>
      <c r="B84" s="5" t="s">
        <v>2931</v>
      </c>
      <c r="C84" s="78" t="n">
        <f aca="false">Entrées!$C$593</f>
        <v>50</v>
      </c>
      <c r="D84" s="78" t="n">
        <f aca="false">Entrées!$C$594</f>
        <v>30.7</v>
      </c>
      <c r="E84" s="111" t="str">
        <f aca="false">IF(D84&gt;=C84,"oui","non")</f>
        <v>non</v>
      </c>
      <c r="F84" s="24" t="s">
        <v>2932</v>
      </c>
    </row>
    <row r="85" customFormat="false" ht="15" hidden="false" customHeight="false" outlineLevel="0" collapsed="false">
      <c r="A85" s="2"/>
      <c r="B85" s="5" t="s">
        <v>2933</v>
      </c>
      <c r="C85" s="78" t="n">
        <f aca="false">Entrées!$C$595</f>
        <v>5</v>
      </c>
      <c r="D85" s="78" t="n">
        <f aca="false">Entrées!$C$430</f>
        <v>6.3</v>
      </c>
      <c r="E85" s="111" t="str">
        <f aca="false">IF(D85&gt;=C85,"oui","non")</f>
        <v>oui</v>
      </c>
      <c r="F85" s="24" t="s">
        <v>2934</v>
      </c>
    </row>
    <row r="86" customFormat="false" ht="15" hidden="false" customHeight="false" outlineLevel="0" collapsed="false">
      <c r="A86" s="2"/>
      <c r="B86" s="5" t="s">
        <v>2935</v>
      </c>
      <c r="C86" s="78" t="n">
        <f aca="false">Entrées!$C$597</f>
        <v>350</v>
      </c>
      <c r="D86" s="78" t="n">
        <f aca="false">Entrées!$C$429</f>
        <v>399</v>
      </c>
      <c r="E86" s="111" t="str">
        <f aca="false">IF(D86&gt;=C86,"oui","non")</f>
        <v>oui</v>
      </c>
      <c r="F86" s="24" t="s">
        <v>2936</v>
      </c>
    </row>
    <row r="87" customFormat="false" ht="15" hidden="false" customHeight="false" outlineLevel="0" collapsed="false">
      <c r="A87" s="2"/>
      <c r="B87" s="5" t="s">
        <v>2937</v>
      </c>
      <c r="C87" s="78" t="n">
        <f aca="false">Entrées!$C$598</f>
        <v>530</v>
      </c>
      <c r="D87" s="78" t="n">
        <f aca="false">Entrées!$C$196</f>
        <v>534</v>
      </c>
      <c r="E87" s="111" t="str">
        <f aca="false">IF(D87&gt;=C87,"oui","non")</f>
        <v>oui</v>
      </c>
      <c r="F87" s="24" t="s">
        <v>2938</v>
      </c>
    </row>
    <row r="88" customFormat="false" ht="15" hidden="false" customHeight="false" outlineLevel="0" collapsed="false">
      <c r="A88" s="2"/>
      <c r="B88" s="5" t="s">
        <v>2939</v>
      </c>
      <c r="C88" s="78" t="n">
        <f aca="false">Entrées!$C$600</f>
        <v>9</v>
      </c>
      <c r="D88" s="78" t="n">
        <f aca="false">Entrées!$C$601</f>
        <v>9.1</v>
      </c>
      <c r="E88" s="111" t="str">
        <f aca="false">IF(D88&gt;=C88,"oui","non")</f>
        <v>oui</v>
      </c>
      <c r="F88" s="24" t="s">
        <v>2940</v>
      </c>
    </row>
    <row r="89" customFormat="false" ht="15" hidden="false" customHeight="false" outlineLevel="0" collapsed="false">
      <c r="A89" s="2"/>
      <c r="B89" s="5" t="s">
        <v>2941</v>
      </c>
      <c r="C89" s="78" t="n">
        <f aca="false">Entrées!$C$61</f>
        <v>3</v>
      </c>
      <c r="D89" s="78" t="n">
        <f aca="false">Entrées!$C$21</f>
        <v>2.79</v>
      </c>
      <c r="E89" s="111" t="str">
        <f aca="false">IF(D89&lt;=C89,"oui","non")</f>
        <v>oui</v>
      </c>
      <c r="F89" s="24" t="s">
        <v>2942</v>
      </c>
    </row>
    <row r="90" customFormat="false" ht="15" hidden="false" customHeight="false" outlineLevel="0" collapsed="false">
      <c r="A90" s="2"/>
      <c r="B90" s="22" t="s">
        <v>2943</v>
      </c>
      <c r="C90" s="112" t="str">
        <f aca="false">COUNTIF(E79:E89,"oui")&amp;" / "&amp;COUNTA(E79:E89)</f>
        <v>9 / 11</v>
      </c>
      <c r="D90" s="24"/>
      <c r="E90" s="24"/>
      <c r="F90" s="2"/>
    </row>
    <row r="91" customFormat="false" ht="15" hidden="false" customHeight="false" outlineLevel="0" collapsed="false">
      <c r="A91" s="2"/>
      <c r="B91" s="22" t="s">
        <v>2944</v>
      </c>
      <c r="C91" s="112" t="str">
        <f aca="false">COUNTIF(E79:E81,"oui")+COUNTIF(E85:E89,"oui")&amp;" / "&amp;(COUNTA(E79:E81)+COUNTA(E85:E89))</f>
        <v>8 / 8</v>
      </c>
      <c r="D91" s="24"/>
      <c r="E91" s="24" t="s">
        <v>2945</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2946</v>
      </c>
      <c r="B1" s="2"/>
      <c r="C1" s="2"/>
      <c r="D1" s="2"/>
      <c r="E1" s="2"/>
      <c r="F1" s="2"/>
      <c r="G1" s="2"/>
      <c r="H1" s="2"/>
      <c r="I1" s="2"/>
      <c r="J1" s="2"/>
      <c r="K1" s="2"/>
    </row>
    <row r="2" customFormat="false" ht="15" hidden="false" customHeight="false" outlineLevel="0" collapsed="false">
      <c r="A2" s="3" t="s">
        <v>2947</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2130</v>
      </c>
      <c r="B4" s="22" t="s">
        <v>2948</v>
      </c>
      <c r="C4" s="2"/>
      <c r="D4" s="2"/>
      <c r="E4" s="2"/>
      <c r="F4" s="2"/>
      <c r="G4" s="2"/>
      <c r="H4" s="2"/>
      <c r="I4" s="2"/>
      <c r="J4" s="2"/>
      <c r="K4" s="2"/>
    </row>
    <row r="5" customFormat="false" ht="15" hidden="false" customHeight="false" outlineLevel="0" collapsed="false">
      <c r="A5" s="2"/>
      <c r="B5" s="5" t="s">
        <v>2949</v>
      </c>
      <c r="C5" s="61" t="n">
        <f aca="false">Entrées!$C$38</f>
        <v>9196</v>
      </c>
      <c r="D5" s="24" t="s">
        <v>224</v>
      </c>
      <c r="E5" s="24" t="s">
        <v>222</v>
      </c>
      <c r="F5" s="2"/>
      <c r="G5" s="2"/>
      <c r="H5" s="2"/>
      <c r="I5" s="2"/>
      <c r="J5" s="2"/>
      <c r="K5" s="2"/>
    </row>
    <row r="6" customFormat="false" ht="15" hidden="false" customHeight="false" outlineLevel="0" collapsed="false">
      <c r="A6" s="2"/>
      <c r="B6" s="5" t="s">
        <v>2950</v>
      </c>
      <c r="C6" s="61" t="n">
        <f aca="false">Entrées!$C$39</f>
        <v>9181</v>
      </c>
      <c r="D6" s="24" t="s">
        <v>224</v>
      </c>
      <c r="E6" s="24" t="s">
        <v>228</v>
      </c>
      <c r="F6" s="2"/>
      <c r="G6" s="2"/>
      <c r="H6" s="2"/>
      <c r="I6" s="2"/>
      <c r="J6" s="2"/>
      <c r="K6" s="2"/>
    </row>
    <row r="7" customFormat="false" ht="15" hidden="false" customHeight="false" outlineLevel="0" collapsed="false">
      <c r="A7" s="2"/>
      <c r="B7" s="5" t="s">
        <v>2951</v>
      </c>
      <c r="C7" s="66" t="n">
        <f aca="false">C6/C5-1</f>
        <v>-0.00163114397564157</v>
      </c>
      <c r="D7" s="24" t="s">
        <v>299</v>
      </c>
      <c r="E7" s="24"/>
      <c r="F7" s="2"/>
      <c r="G7" s="2"/>
      <c r="H7" s="2"/>
      <c r="I7" s="2"/>
      <c r="J7" s="2"/>
      <c r="K7" s="2"/>
    </row>
    <row r="8" customFormat="false" ht="15" hidden="false" customHeight="false" outlineLevel="0" collapsed="false">
      <c r="A8" s="2"/>
      <c r="B8" s="5" t="s">
        <v>2952</v>
      </c>
      <c r="C8" s="64" t="n">
        <f aca="false">Entrées!$C$40*1000</f>
        <v>9000</v>
      </c>
      <c r="D8" s="24" t="s">
        <v>224</v>
      </c>
      <c r="E8" s="24" t="s">
        <v>230</v>
      </c>
      <c r="F8" s="2"/>
      <c r="G8" s="2"/>
      <c r="H8" s="2"/>
      <c r="I8" s="2"/>
      <c r="J8" s="2"/>
      <c r="K8" s="2"/>
    </row>
    <row r="9" customFormat="false" ht="15" hidden="false" customHeight="false" outlineLevel="0" collapsed="false">
      <c r="A9" s="2"/>
      <c r="B9" s="5" t="s">
        <v>2953</v>
      </c>
      <c r="C9" s="64" t="n">
        <f aca="false">Entrées!$C$41*1000</f>
        <v>10000</v>
      </c>
      <c r="D9" s="24" t="s">
        <v>224</v>
      </c>
      <c r="E9" s="24" t="s">
        <v>234</v>
      </c>
      <c r="F9" s="2"/>
      <c r="G9" s="2"/>
      <c r="H9" s="2"/>
      <c r="I9" s="2"/>
      <c r="J9" s="2"/>
      <c r="K9" s="2"/>
    </row>
    <row r="10" customFormat="false" ht="15" hidden="false" customHeight="false" outlineLevel="0" collapsed="false">
      <c r="A10" s="2"/>
      <c r="B10" s="22" t="s">
        <v>2954</v>
      </c>
      <c r="C10" s="45" t="n">
        <f aca="false">C6-C8</f>
        <v>181</v>
      </c>
      <c r="D10" s="24" t="s">
        <v>224</v>
      </c>
      <c r="E10" s="24" t="s">
        <v>2955</v>
      </c>
      <c r="F10" s="2"/>
      <c r="G10" s="2"/>
      <c r="H10" s="2"/>
      <c r="I10" s="2"/>
      <c r="J10" s="2"/>
      <c r="K10" s="2"/>
    </row>
    <row r="11" customFormat="false" ht="15" hidden="false" customHeight="false" outlineLevel="0" collapsed="false">
      <c r="A11" s="2"/>
      <c r="B11" s="22" t="s">
        <v>2956</v>
      </c>
      <c r="C11" s="45" t="n">
        <f aca="false">C6-C9</f>
        <v>-819</v>
      </c>
      <c r="D11" s="24" t="s">
        <v>224</v>
      </c>
      <c r="E11" s="24"/>
      <c r="F11" s="2"/>
      <c r="G11" s="2"/>
      <c r="H11" s="2"/>
      <c r="I11" s="2"/>
      <c r="J11" s="2"/>
      <c r="K11" s="2"/>
    </row>
    <row r="12" customFormat="false" ht="15" hidden="false" customHeight="false" outlineLevel="0" collapsed="false">
      <c r="A12" s="2"/>
      <c r="B12" s="5" t="s">
        <v>2957</v>
      </c>
      <c r="C12" s="61" t="n">
        <f aca="false">Entrées!$C$68</f>
        <v>430</v>
      </c>
      <c r="D12" s="24" t="s">
        <v>224</v>
      </c>
      <c r="E12" s="24" t="s">
        <v>326</v>
      </c>
      <c r="F12" s="2"/>
      <c r="G12" s="2"/>
      <c r="H12" s="2"/>
      <c r="I12" s="2"/>
      <c r="J12" s="2"/>
      <c r="K12" s="2"/>
    </row>
    <row r="13" customFormat="false" ht="15" hidden="false" customHeight="false" outlineLevel="0" collapsed="false">
      <c r="A13" s="2"/>
      <c r="B13" s="5" t="s">
        <v>2958</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2143</v>
      </c>
      <c r="B16" s="22" t="s">
        <v>2959</v>
      </c>
      <c r="C16" s="2"/>
      <c r="D16" s="2"/>
      <c r="E16" s="2"/>
      <c r="F16" s="2"/>
      <c r="G16" s="2"/>
      <c r="H16" s="2"/>
      <c r="I16" s="2"/>
      <c r="J16" s="2"/>
      <c r="K16" s="2"/>
    </row>
    <row r="17" customFormat="false" ht="15" hidden="false" customHeight="false" outlineLevel="0" collapsed="false">
      <c r="A17" s="2"/>
      <c r="B17" s="5" t="s">
        <v>2960</v>
      </c>
      <c r="C17" s="78" t="n">
        <f aca="false">Entrées!$C$63</f>
        <v>4.3</v>
      </c>
      <c r="D17" s="24" t="s">
        <v>130</v>
      </c>
      <c r="E17" s="24" t="s">
        <v>311</v>
      </c>
      <c r="F17" s="2"/>
      <c r="G17" s="2"/>
      <c r="H17" s="2"/>
      <c r="I17" s="2"/>
      <c r="J17" s="2"/>
      <c r="K17" s="2"/>
    </row>
    <row r="18" customFormat="false" ht="15" hidden="false" customHeight="false" outlineLevel="0" collapsed="false">
      <c r="A18" s="2"/>
      <c r="B18" s="5" t="s">
        <v>2961</v>
      </c>
      <c r="C18" s="78" t="n">
        <f aca="false">Entrées!$C$64</f>
        <v>5.2</v>
      </c>
      <c r="D18" s="24" t="s">
        <v>130</v>
      </c>
      <c r="E18" s="24" t="s">
        <v>314</v>
      </c>
      <c r="F18" s="2"/>
      <c r="G18" s="2"/>
      <c r="H18" s="2"/>
      <c r="I18" s="2"/>
      <c r="J18" s="2"/>
      <c r="K18" s="2"/>
    </row>
    <row r="19" customFormat="false" ht="15" hidden="false" customHeight="false" outlineLevel="0" collapsed="false">
      <c r="A19" s="2"/>
      <c r="B19" s="5" t="s">
        <v>2962</v>
      </c>
      <c r="C19" s="78" t="n">
        <f aca="false">Entrées!$C$65</f>
        <v>0.9</v>
      </c>
      <c r="D19" s="24" t="s">
        <v>130</v>
      </c>
      <c r="E19" s="24" t="s">
        <v>317</v>
      </c>
      <c r="F19" s="2"/>
      <c r="G19" s="2"/>
      <c r="H19" s="2"/>
      <c r="I19" s="2"/>
      <c r="J19" s="2"/>
      <c r="K19" s="2"/>
    </row>
    <row r="20" customFormat="false" ht="15" hidden="false" customHeight="false" outlineLevel="0" collapsed="false">
      <c r="A20" s="2"/>
      <c r="B20" s="5" t="s">
        <v>2963</v>
      </c>
      <c r="C20" s="66" t="n">
        <f aca="false">C19/C18</f>
        <v>0.173076923076923</v>
      </c>
      <c r="D20" s="24" t="s">
        <v>299</v>
      </c>
      <c r="E20" s="24" t="s">
        <v>2964</v>
      </c>
      <c r="F20" s="2"/>
      <c r="G20" s="2"/>
      <c r="H20" s="2"/>
      <c r="I20" s="2"/>
      <c r="J20" s="2"/>
      <c r="K20" s="2"/>
    </row>
    <row r="21" customFormat="false" ht="15" hidden="false" customHeight="false" outlineLevel="0" collapsed="false">
      <c r="A21" s="2"/>
      <c r="B21" s="5" t="s">
        <v>2965</v>
      </c>
      <c r="C21" s="66" t="n">
        <f aca="false">Entrées!$C$67/100</f>
        <v>0.1</v>
      </c>
      <c r="D21" s="24" t="s">
        <v>299</v>
      </c>
      <c r="E21" s="24" t="s">
        <v>323</v>
      </c>
      <c r="F21" s="2"/>
      <c r="G21" s="2"/>
      <c r="H21" s="2"/>
      <c r="I21" s="2"/>
      <c r="J21" s="2"/>
      <c r="K21" s="2"/>
    </row>
    <row r="22" customFormat="false" ht="15" hidden="false" customHeight="false" outlineLevel="0" collapsed="false">
      <c r="A22" s="2"/>
      <c r="B22" s="22" t="s">
        <v>2966</v>
      </c>
      <c r="C22" s="51" t="n">
        <f aca="false">C19*(1+C21)^2</f>
        <v>1.089</v>
      </c>
      <c r="D22" s="24" t="s">
        <v>130</v>
      </c>
      <c r="E22" s="24" t="s">
        <v>2967</v>
      </c>
      <c r="F22" s="2"/>
      <c r="G22" s="2"/>
      <c r="H22" s="2"/>
      <c r="I22" s="2"/>
      <c r="J22" s="2"/>
      <c r="K22" s="2"/>
    </row>
    <row r="23" customFormat="false" ht="15" hidden="false" customHeight="false" outlineLevel="0" collapsed="false">
      <c r="A23" s="2"/>
      <c r="B23" s="5" t="s">
        <v>2968</v>
      </c>
      <c r="C23" s="66" t="n">
        <f aca="false">Entrées!$C$57/Entrées!$C$59-1</f>
        <v>0.0510204081632653</v>
      </c>
      <c r="D23" s="24" t="s">
        <v>299</v>
      </c>
      <c r="E23" s="24" t="s">
        <v>2969</v>
      </c>
      <c r="F23" s="2"/>
      <c r="G23" s="2"/>
      <c r="H23" s="2"/>
      <c r="I23" s="2"/>
      <c r="J23" s="2"/>
      <c r="K23" s="2"/>
    </row>
    <row r="24" customFormat="false" ht="15" hidden="false" customHeight="false" outlineLevel="0" collapsed="false">
      <c r="A24" s="2"/>
      <c r="B24" s="5" t="s">
        <v>2970</v>
      </c>
      <c r="C24" s="66" t="n">
        <f aca="false">Entrées!$C$56/Entrées!$C$57</f>
        <v>0.194174757281553</v>
      </c>
      <c r="D24" s="24" t="s">
        <v>299</v>
      </c>
      <c r="E24" s="24" t="s">
        <v>2971</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2308</v>
      </c>
      <c r="B26" s="22" t="s">
        <v>2972</v>
      </c>
      <c r="C26" s="2"/>
      <c r="D26" s="2"/>
      <c r="E26" s="2"/>
      <c r="F26" s="2"/>
      <c r="G26" s="2"/>
      <c r="H26" s="2"/>
      <c r="I26" s="2"/>
      <c r="J26" s="2"/>
      <c r="K26" s="2"/>
    </row>
    <row r="27" customFormat="false" ht="15" hidden="false" customHeight="false" outlineLevel="0" collapsed="false">
      <c r="A27" s="2"/>
      <c r="B27" s="5" t="s">
        <v>2973</v>
      </c>
      <c r="C27" s="61" t="n">
        <f aca="false">Entrées!$C$44</f>
        <v>1189</v>
      </c>
      <c r="D27" s="24" t="s">
        <v>103</v>
      </c>
      <c r="E27" s="24" t="s">
        <v>242</v>
      </c>
      <c r="F27" s="2"/>
      <c r="G27" s="2"/>
      <c r="H27" s="2"/>
      <c r="I27" s="2"/>
      <c r="J27" s="2"/>
      <c r="K27" s="2"/>
    </row>
    <row r="28" customFormat="false" ht="15" hidden="false" customHeight="false" outlineLevel="0" collapsed="false">
      <c r="A28" s="2"/>
      <c r="B28" s="22" t="s">
        <v>2974</v>
      </c>
      <c r="C28" s="41" t="n">
        <f aca="false">Entrées!$C$98/100</f>
        <v>-0.002</v>
      </c>
      <c r="D28" s="24" t="s">
        <v>299</v>
      </c>
      <c r="E28" s="24" t="s">
        <v>413</v>
      </c>
      <c r="F28" s="2"/>
      <c r="G28" s="2"/>
      <c r="H28" s="2"/>
      <c r="I28" s="2"/>
      <c r="J28" s="2"/>
      <c r="K28" s="2"/>
    </row>
    <row r="29" customFormat="false" ht="15" hidden="false" customHeight="false" outlineLevel="0" collapsed="false">
      <c r="A29" s="2"/>
      <c r="B29" s="5" t="s">
        <v>2975</v>
      </c>
      <c r="C29" s="66" t="n">
        <f aca="false">Entrées!$C$100/Entrées!$C$99-1</f>
        <v>0.0352220520673814</v>
      </c>
      <c r="D29" s="24" t="s">
        <v>299</v>
      </c>
      <c r="E29" s="24" t="s">
        <v>2976</v>
      </c>
      <c r="F29" s="2"/>
      <c r="G29" s="2"/>
      <c r="H29" s="2"/>
      <c r="I29" s="2"/>
      <c r="J29" s="2"/>
      <c r="K29" s="2"/>
    </row>
    <row r="30" customFormat="false" ht="15" hidden="false" customHeight="false" outlineLevel="0" collapsed="false">
      <c r="A30" s="2"/>
      <c r="B30" s="5" t="s">
        <v>2977</v>
      </c>
      <c r="C30" s="66" t="n">
        <f aca="false">Entrées!$C$102/Entrées!$C$101-1</f>
        <v>0.108501118568233</v>
      </c>
      <c r="D30" s="24" t="s">
        <v>299</v>
      </c>
      <c r="E30" s="24" t="s">
        <v>2978</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2457</v>
      </c>
      <c r="B33" s="22" t="s">
        <v>2979</v>
      </c>
      <c r="C33" s="2"/>
      <c r="D33" s="2"/>
      <c r="E33" s="2"/>
      <c r="F33" s="2"/>
      <c r="G33" s="2"/>
      <c r="H33" s="2"/>
      <c r="I33" s="2"/>
      <c r="J33" s="2"/>
      <c r="K33" s="2"/>
    </row>
    <row r="34" customFormat="false" ht="15" hidden="false" customHeight="false" outlineLevel="0" collapsed="false">
      <c r="A34" s="21"/>
      <c r="B34" s="21" t="s">
        <v>2252</v>
      </c>
      <c r="C34" s="21" t="s">
        <v>2980</v>
      </c>
      <c r="D34" s="21" t="s">
        <v>2981</v>
      </c>
      <c r="E34" s="21" t="s">
        <v>2982</v>
      </c>
      <c r="F34" s="21" t="s">
        <v>2983</v>
      </c>
      <c r="G34" s="21" t="s">
        <v>2984</v>
      </c>
      <c r="H34" s="21" t="s">
        <v>2985</v>
      </c>
      <c r="I34" s="21" t="s">
        <v>96</v>
      </c>
      <c r="J34" s="21" t="s">
        <v>97</v>
      </c>
      <c r="K34" s="21" t="s">
        <v>2986</v>
      </c>
    </row>
    <row r="35" customFormat="false" ht="15" hidden="false" customHeight="false" outlineLevel="0" collapsed="false">
      <c r="A35" s="2"/>
      <c r="B35" s="5" t="s">
        <v>2987</v>
      </c>
      <c r="C35" s="5" t="s">
        <v>2482</v>
      </c>
      <c r="D35" s="113" t="s">
        <v>2988</v>
      </c>
      <c r="E35" s="59" t="n">
        <f aca="false">Entrées!$C$212</f>
        <v>6030.8</v>
      </c>
      <c r="F35" s="59" t="n">
        <f aca="false">Entrées!$C$213/1000</f>
        <v>1169.939</v>
      </c>
      <c r="G35" s="66" t="n">
        <f aca="false">IF(AND(ISNUMBER(E35),ISNUMBER(F35),E35&lt;&gt;0),F35/E35,"")</f>
        <v>0.193993997479605</v>
      </c>
      <c r="H35" s="114"/>
      <c r="I35" s="113" t="s">
        <v>739</v>
      </c>
      <c r="J35" s="113" t="s">
        <v>2989</v>
      </c>
      <c r="K35" s="24" t="s">
        <v>2990</v>
      </c>
    </row>
    <row r="36" customFormat="false" ht="15" hidden="false" customHeight="false" outlineLevel="0" collapsed="false">
      <c r="A36" s="2"/>
      <c r="B36" s="5" t="s">
        <v>2991</v>
      </c>
      <c r="C36" s="5" t="s">
        <v>2482</v>
      </c>
      <c r="D36" s="113" t="s">
        <v>2992</v>
      </c>
      <c r="E36" s="59" t="n">
        <f aca="false">Entrées!$C$197</f>
        <v>973.9</v>
      </c>
      <c r="F36" s="115" t="n">
        <f aca="false">Entrées!$C$199+(Entrées!$C$201+Entrées!$C$202)/1000</f>
        <v>155.122</v>
      </c>
      <c r="G36" s="66" t="n">
        <f aca="false">IF(AND(ISNUMBER(E36),ISNUMBER(F36),E36&lt;&gt;0),F36/E36,"")</f>
        <v>0.159279186774823</v>
      </c>
      <c r="H36" s="114"/>
      <c r="I36" s="113" t="s">
        <v>706</v>
      </c>
      <c r="J36" s="113" t="s">
        <v>2993</v>
      </c>
      <c r="K36" s="24" t="s">
        <v>2994</v>
      </c>
    </row>
    <row r="37" customFormat="false" ht="15" hidden="false" customHeight="false" outlineLevel="0" collapsed="false">
      <c r="A37" s="2"/>
      <c r="B37" s="5" t="s">
        <v>2995</v>
      </c>
      <c r="C37" s="5" t="s">
        <v>2482</v>
      </c>
      <c r="D37" s="114"/>
      <c r="E37" s="114"/>
      <c r="F37" s="114"/>
      <c r="G37" s="66" t="str">
        <f aca="false">IF(AND(ISNUMBER(E37),ISNUMBER(F37),E37&lt;&gt;0),F37/E37,"")</f>
        <v/>
      </c>
      <c r="H37" s="114"/>
      <c r="I37" s="114"/>
      <c r="J37" s="114"/>
      <c r="K37" s="24" t="s">
        <v>2996</v>
      </c>
    </row>
    <row r="38" customFormat="false" ht="15" hidden="false" customHeight="false" outlineLevel="0" collapsed="false">
      <c r="A38" s="2"/>
      <c r="B38" s="5" t="s">
        <v>2997</v>
      </c>
      <c r="C38" s="5" t="s">
        <v>2483</v>
      </c>
      <c r="D38" s="114"/>
      <c r="E38" s="114"/>
      <c r="F38" s="114"/>
      <c r="G38" s="66" t="str">
        <f aca="false">IF(AND(ISNUMBER(E38),ISNUMBER(F38),E38&lt;&gt;0),F38/E38,"")</f>
        <v/>
      </c>
      <c r="H38" s="114"/>
      <c r="I38" s="114"/>
      <c r="J38" s="114"/>
      <c r="K38" s="24" t="s">
        <v>2998</v>
      </c>
    </row>
    <row r="39" customFormat="false" ht="15" hidden="false" customHeight="false" outlineLevel="0" collapsed="false">
      <c r="A39" s="2"/>
      <c r="B39" s="5" t="s">
        <v>2999</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2475</v>
      </c>
      <c r="B41" s="22" t="s">
        <v>3000</v>
      </c>
      <c r="C41" s="2"/>
      <c r="D41" s="2"/>
      <c r="E41" s="2"/>
      <c r="F41" s="2"/>
      <c r="G41" s="2"/>
      <c r="H41" s="2"/>
      <c r="I41" s="2"/>
      <c r="J41" s="2"/>
      <c r="K41" s="2"/>
    </row>
    <row r="42" customFormat="false" ht="15" hidden="false" customHeight="false" outlineLevel="0" collapsed="false">
      <c r="A42" s="2"/>
      <c r="B42" s="5" t="s">
        <v>3001</v>
      </c>
      <c r="C42" s="98" t="n">
        <f aca="false">Entrées!$C$198</f>
        <v>940.3</v>
      </c>
      <c r="D42" s="24" t="s">
        <v>249</v>
      </c>
      <c r="E42" s="24" t="s">
        <v>3002</v>
      </c>
      <c r="F42" s="2"/>
      <c r="G42" s="2"/>
      <c r="H42" s="2"/>
      <c r="I42" s="2"/>
      <c r="J42" s="2"/>
      <c r="K42" s="2"/>
    </row>
    <row r="43" customFormat="false" ht="15" hidden="false" customHeight="false" outlineLevel="0" collapsed="false">
      <c r="A43" s="2"/>
      <c r="B43" s="5" t="s">
        <v>3001</v>
      </c>
      <c r="C43" s="98" t="n">
        <f aca="false">Entrées!$C$197</f>
        <v>973.9</v>
      </c>
      <c r="D43" s="24" t="s">
        <v>249</v>
      </c>
      <c r="E43" s="24" t="s">
        <v>3003</v>
      </c>
      <c r="F43" s="2"/>
      <c r="G43" s="2"/>
      <c r="H43" s="2"/>
      <c r="I43" s="2"/>
      <c r="J43" s="2"/>
      <c r="K43" s="2"/>
    </row>
    <row r="44" customFormat="false" ht="15" hidden="false" customHeight="false" outlineLevel="0" collapsed="false">
      <c r="A44" s="2"/>
      <c r="B44" s="5" t="s">
        <v>3004</v>
      </c>
      <c r="C44" s="66" t="n">
        <f aca="false">C43/C42-1</f>
        <v>0.0357332766138467</v>
      </c>
      <c r="D44" s="24" t="s">
        <v>299</v>
      </c>
      <c r="E44" s="24"/>
      <c r="F44" s="2"/>
      <c r="G44" s="2"/>
      <c r="H44" s="2"/>
      <c r="I44" s="2"/>
      <c r="J44" s="2"/>
      <c r="K44" s="2"/>
    </row>
    <row r="45" customFormat="false" ht="15" hidden="false" customHeight="false" outlineLevel="0" collapsed="false">
      <c r="A45" s="2"/>
      <c r="B45" s="5" t="s">
        <v>3005</v>
      </c>
      <c r="C45" s="98" t="n">
        <f aca="false">Entrées!$C$200</f>
        <v>92.6</v>
      </c>
      <c r="D45" s="24" t="s">
        <v>249</v>
      </c>
      <c r="E45" s="24" t="s">
        <v>3006</v>
      </c>
      <c r="F45" s="2"/>
      <c r="G45" s="2"/>
      <c r="H45" s="2"/>
      <c r="I45" s="2"/>
      <c r="J45" s="2"/>
      <c r="K45" s="2"/>
    </row>
    <row r="46" customFormat="false" ht="15" hidden="false" customHeight="false" outlineLevel="0" collapsed="false">
      <c r="A46" s="2"/>
      <c r="B46" s="5" t="s">
        <v>3005</v>
      </c>
      <c r="C46" s="98" t="n">
        <f aca="false">Entrées!$C$199</f>
        <v>91.7</v>
      </c>
      <c r="D46" s="24" t="s">
        <v>249</v>
      </c>
      <c r="E46" s="24" t="s">
        <v>3007</v>
      </c>
      <c r="F46" s="2"/>
      <c r="G46" s="2"/>
      <c r="H46" s="2"/>
      <c r="I46" s="2"/>
      <c r="J46" s="2"/>
      <c r="K46" s="2"/>
    </row>
    <row r="47" customFormat="false" ht="15" hidden="false" customHeight="false" outlineLevel="0" collapsed="false">
      <c r="A47" s="2"/>
      <c r="B47" s="5" t="s">
        <v>3008</v>
      </c>
      <c r="C47" s="99" t="n">
        <f aca="false">(Entrées!$C$201+Entrées!$C$202)/1000</f>
        <v>63.422</v>
      </c>
      <c r="D47" s="24" t="s">
        <v>249</v>
      </c>
      <c r="E47" s="24" t="s">
        <v>3009</v>
      </c>
      <c r="F47" s="2"/>
      <c r="G47" s="2"/>
      <c r="H47" s="2"/>
      <c r="I47" s="2"/>
      <c r="J47" s="2"/>
      <c r="K47" s="2"/>
    </row>
    <row r="48" customFormat="false" ht="15" hidden="false" customHeight="false" outlineLevel="0" collapsed="false">
      <c r="A48" s="2"/>
      <c r="B48" s="22" t="s">
        <v>3010</v>
      </c>
      <c r="C48" s="60" t="n">
        <f aca="false">C46+C47</f>
        <v>155.122</v>
      </c>
      <c r="D48" s="24" t="s">
        <v>249</v>
      </c>
      <c r="E48" s="24" t="s">
        <v>3011</v>
      </c>
      <c r="F48" s="2"/>
      <c r="G48" s="2"/>
      <c r="H48" s="2"/>
      <c r="I48" s="2"/>
      <c r="J48" s="2"/>
      <c r="K48" s="2"/>
    </row>
    <row r="49" customFormat="false" ht="15" hidden="false" customHeight="false" outlineLevel="0" collapsed="false">
      <c r="A49" s="2"/>
      <c r="B49" s="5" t="s">
        <v>3012</v>
      </c>
      <c r="C49" s="66" t="n">
        <f aca="false">C48/C43</f>
        <v>0.159279186774823</v>
      </c>
      <c r="D49" s="24" t="s">
        <v>299</v>
      </c>
      <c r="E49" s="24"/>
      <c r="F49" s="2"/>
      <c r="G49" s="2"/>
      <c r="H49" s="2"/>
      <c r="I49" s="2"/>
      <c r="J49" s="2"/>
      <c r="K49" s="2"/>
    </row>
    <row r="50" customFormat="false" ht="15" hidden="false" customHeight="false" outlineLevel="0" collapsed="false">
      <c r="A50" s="2"/>
      <c r="B50" s="5" t="s">
        <v>3013</v>
      </c>
      <c r="C50" s="98" t="n">
        <f aca="false">Entrées!$C$56</f>
        <v>200</v>
      </c>
      <c r="D50" s="24" t="s">
        <v>249</v>
      </c>
      <c r="E50" s="24" t="s">
        <v>290</v>
      </c>
      <c r="F50" s="2"/>
      <c r="G50" s="2"/>
      <c r="H50" s="2"/>
      <c r="I50" s="2"/>
      <c r="J50" s="2"/>
      <c r="K50" s="2"/>
    </row>
    <row r="51" customFormat="false" ht="15" hidden="false" customHeight="false" outlineLevel="0" collapsed="false">
      <c r="A51" s="2"/>
      <c r="B51" s="22" t="s">
        <v>3014</v>
      </c>
      <c r="C51" s="41" t="n">
        <f aca="false">C50/C48-1</f>
        <v>0.289307770657934</v>
      </c>
      <c r="D51" s="24" t="s">
        <v>299</v>
      </c>
      <c r="E51" s="24" t="s">
        <v>3015</v>
      </c>
      <c r="F51" s="2"/>
      <c r="G51" s="2"/>
      <c r="H51" s="2"/>
      <c r="I51" s="2"/>
      <c r="J51" s="2"/>
      <c r="K51" s="2"/>
    </row>
    <row r="52" customFormat="false" ht="15" hidden="false" customHeight="false" outlineLevel="0" collapsed="false">
      <c r="A52" s="2"/>
      <c r="B52" s="22" t="s">
        <v>3016</v>
      </c>
      <c r="C52" s="48" t="n">
        <f aca="false">Entrées!$C$51*1000/C48</f>
        <v>19.339616559869</v>
      </c>
      <c r="D52" s="24" t="s">
        <v>133</v>
      </c>
      <c r="E52" s="24" t="s">
        <v>3017</v>
      </c>
      <c r="F52" s="2"/>
      <c r="G52" s="2"/>
      <c r="H52" s="2"/>
      <c r="I52" s="2"/>
      <c r="J52" s="2"/>
      <c r="K52" s="2"/>
    </row>
    <row r="53" customFormat="false" ht="15" hidden="false" customHeight="false" outlineLevel="0" collapsed="false">
      <c r="A53" s="2"/>
      <c r="B53" s="5" t="s">
        <v>3018</v>
      </c>
      <c r="C53" s="89" t="n">
        <f aca="false">Entrées!$C$53</f>
        <v>9.8</v>
      </c>
      <c r="D53" s="24" t="s">
        <v>133</v>
      </c>
      <c r="E53" s="24" t="s">
        <v>278</v>
      </c>
      <c r="F53" s="2"/>
      <c r="G53" s="2"/>
      <c r="H53" s="2"/>
      <c r="I53" s="2"/>
      <c r="J53" s="2"/>
      <c r="K53" s="2"/>
    </row>
    <row r="54" customFormat="false" ht="15" hidden="false" customHeight="false" outlineLevel="0" collapsed="false">
      <c r="A54" s="2"/>
      <c r="B54" s="5" t="s">
        <v>3019</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3020</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3021</v>
      </c>
      <c r="B1" s="2"/>
      <c r="C1" s="2"/>
      <c r="D1" s="2"/>
      <c r="E1" s="2"/>
      <c r="F1" s="2"/>
      <c r="G1" s="2"/>
      <c r="H1" s="2"/>
      <c r="I1" s="2"/>
    </row>
    <row r="2" customFormat="false" ht="15" hidden="false" customHeight="false" outlineLevel="0" collapsed="false">
      <c r="A2" s="3" t="s">
        <v>3022</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2130</v>
      </c>
      <c r="B4" s="22" t="s">
        <v>3023</v>
      </c>
      <c r="C4" s="2"/>
      <c r="D4" s="2"/>
      <c r="E4" s="2"/>
      <c r="F4" s="2"/>
      <c r="G4" s="2"/>
      <c r="H4" s="2"/>
      <c r="I4" s="2"/>
    </row>
    <row r="5" customFormat="false" ht="15" hidden="false" customHeight="false" outlineLevel="0" collapsed="false">
      <c r="A5" s="21"/>
      <c r="B5" s="21" t="s">
        <v>3024</v>
      </c>
      <c r="C5" s="21" t="s">
        <v>193</v>
      </c>
      <c r="D5" s="21" t="s">
        <v>140</v>
      </c>
      <c r="E5" s="21" t="s">
        <v>147</v>
      </c>
      <c r="F5" s="21" t="s">
        <v>2048</v>
      </c>
      <c r="G5" s="116" t="s">
        <v>3025</v>
      </c>
      <c r="H5" s="2"/>
      <c r="I5" s="2"/>
    </row>
    <row r="6" customFormat="false" ht="15" hidden="false" customHeight="false" outlineLevel="0" collapsed="false">
      <c r="A6" s="2"/>
      <c r="B6" s="22" t="s">
        <v>3026</v>
      </c>
      <c r="C6" s="61" t="n">
        <f aca="false">Entrées!$C$104</f>
        <v>1220</v>
      </c>
      <c r="D6" s="61" t="n">
        <f aca="false">Entrées!$C$105</f>
        <v>1214</v>
      </c>
      <c r="E6" s="61" t="n">
        <f aca="false">Entrées!$C$49</f>
        <v>1290</v>
      </c>
      <c r="F6" s="24" t="s">
        <v>3027</v>
      </c>
      <c r="G6" s="45" t="n">
        <f aca="false">E6-D6</f>
        <v>76</v>
      </c>
      <c r="H6" s="2"/>
      <c r="I6" s="2"/>
    </row>
    <row r="7" customFormat="false" ht="15" hidden="false" customHeight="false" outlineLevel="0" collapsed="false">
      <c r="A7" s="2"/>
      <c r="B7" s="5" t="s">
        <v>3028</v>
      </c>
      <c r="C7" s="2"/>
      <c r="D7" s="61" t="n">
        <f aca="false">Entrées!$C$106</f>
        <v>418</v>
      </c>
      <c r="E7" s="61" t="n">
        <f aca="false">Entrées!$C$107</f>
        <v>472</v>
      </c>
      <c r="F7" s="24" t="s">
        <v>3029</v>
      </c>
      <c r="G7" s="64" t="n">
        <f aca="false">E7-D7</f>
        <v>54</v>
      </c>
      <c r="H7" s="2"/>
      <c r="I7" s="2"/>
    </row>
    <row r="8" customFormat="false" ht="15" hidden="false" customHeight="false" outlineLevel="0" collapsed="false">
      <c r="A8" s="2"/>
      <c r="B8" s="5" t="s">
        <v>3030</v>
      </c>
      <c r="C8" s="2"/>
      <c r="D8" s="61" t="n">
        <f aca="false">Entrées!$C$108</f>
        <v>454</v>
      </c>
      <c r="E8" s="61" t="n">
        <f aca="false">Entrées!$C$50</f>
        <v>461</v>
      </c>
      <c r="F8" s="24" t="s">
        <v>3031</v>
      </c>
      <c r="G8" s="64" t="n">
        <f aca="false">E8-D8</f>
        <v>7</v>
      </c>
      <c r="H8" s="2"/>
      <c r="I8" s="2"/>
    </row>
    <row r="9" customFormat="false" ht="15" hidden="false" customHeight="false" outlineLevel="0" collapsed="false">
      <c r="A9" s="2"/>
      <c r="B9" s="5" t="s">
        <v>3032</v>
      </c>
      <c r="C9" s="2"/>
      <c r="D9" s="61" t="n">
        <f aca="false">Entrées!$C$109</f>
        <v>315</v>
      </c>
      <c r="E9" s="61" t="n">
        <f aca="false">Entrées!$C$110</f>
        <v>328</v>
      </c>
      <c r="F9" s="24" t="s">
        <v>3033</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3034</v>
      </c>
      <c r="C11" s="61" t="n">
        <f aca="false">Entrées!$C$47</f>
        <v>1106</v>
      </c>
      <c r="D11" s="24" t="s">
        <v>103</v>
      </c>
      <c r="E11" s="24" t="s">
        <v>254</v>
      </c>
      <c r="F11" s="2"/>
      <c r="G11" s="2"/>
      <c r="H11" s="2"/>
      <c r="I11" s="2"/>
    </row>
    <row r="12" customFormat="false" ht="15" hidden="false" customHeight="false" outlineLevel="0" collapsed="false">
      <c r="A12" s="2"/>
      <c r="B12" s="5" t="s">
        <v>3035</v>
      </c>
      <c r="C12" s="61" t="n">
        <f aca="false">Entrées!$C$48</f>
        <v>53</v>
      </c>
      <c r="D12" s="24" t="s">
        <v>103</v>
      </c>
      <c r="E12" s="24" t="s">
        <v>258</v>
      </c>
      <c r="F12" s="2"/>
      <c r="G12" s="2"/>
      <c r="H12" s="2"/>
      <c r="I12" s="2"/>
    </row>
    <row r="13" customFormat="false" ht="15" hidden="false" customHeight="false" outlineLevel="0" collapsed="false">
      <c r="A13" s="2"/>
      <c r="B13" s="5" t="s">
        <v>3036</v>
      </c>
      <c r="C13" s="61" t="n">
        <f aca="false">Entrées!$C$111</f>
        <v>55</v>
      </c>
      <c r="D13" s="24" t="s">
        <v>103</v>
      </c>
      <c r="E13" s="24" t="s">
        <v>446</v>
      </c>
      <c r="F13" s="2"/>
      <c r="G13" s="2"/>
      <c r="H13" s="2"/>
      <c r="I13" s="2"/>
    </row>
    <row r="14" customFormat="false" ht="15" hidden="false" customHeight="false" outlineLevel="0" collapsed="false">
      <c r="A14" s="2"/>
      <c r="B14" s="22" t="s">
        <v>3037</v>
      </c>
      <c r="C14" s="45" t="n">
        <f aca="false">SUM(C11:C13)</f>
        <v>1214</v>
      </c>
      <c r="D14" s="24" t="s">
        <v>103</v>
      </c>
      <c r="E14" s="24" t="s">
        <v>3038</v>
      </c>
      <c r="F14" s="2"/>
      <c r="G14" s="2"/>
      <c r="H14" s="2"/>
      <c r="I14" s="2"/>
    </row>
    <row r="15" customFormat="false" ht="15" hidden="false" customHeight="false" outlineLevel="0" collapsed="false">
      <c r="A15" s="2"/>
      <c r="B15" s="5" t="s">
        <v>3039</v>
      </c>
      <c r="C15" s="61" t="n">
        <f aca="false">Entrées!$C$112</f>
        <v>72</v>
      </c>
      <c r="D15" s="24" t="s">
        <v>103</v>
      </c>
      <c r="E15" s="24" t="s">
        <v>449</v>
      </c>
      <c r="F15" s="2"/>
      <c r="G15" s="2"/>
      <c r="H15" s="2"/>
      <c r="I15" s="2"/>
    </row>
    <row r="16" customFormat="false" ht="15" hidden="false" customHeight="false" outlineLevel="0" collapsed="false">
      <c r="A16" s="2"/>
      <c r="B16" s="5" t="s">
        <v>3040</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2143</v>
      </c>
      <c r="B18" s="22" t="s">
        <v>3041</v>
      </c>
      <c r="C18" s="2"/>
      <c r="D18" s="2"/>
      <c r="E18" s="2"/>
      <c r="F18" s="2"/>
      <c r="G18" s="2"/>
      <c r="H18" s="2"/>
      <c r="I18" s="2"/>
    </row>
    <row r="19" customFormat="false" ht="15" hidden="false" customHeight="false" outlineLevel="0" collapsed="false">
      <c r="A19" s="2"/>
      <c r="B19" s="5" t="s">
        <v>3042</v>
      </c>
      <c r="C19" s="61" t="n">
        <f aca="false">Entrées!$C$46</f>
        <v>2542</v>
      </c>
      <c r="D19" s="24" t="s">
        <v>103</v>
      </c>
      <c r="E19" s="24" t="s">
        <v>252</v>
      </c>
      <c r="F19" s="2"/>
      <c r="G19" s="2"/>
      <c r="H19" s="2"/>
      <c r="I19" s="2"/>
    </row>
    <row r="20" customFormat="false" ht="15" hidden="false" customHeight="false" outlineLevel="0" collapsed="false">
      <c r="A20" s="2"/>
      <c r="B20" s="5" t="s">
        <v>3043</v>
      </c>
      <c r="C20" s="61" t="n">
        <f aca="false">Entrées!$C$103</f>
        <v>2066</v>
      </c>
      <c r="D20" s="24" t="s">
        <v>103</v>
      </c>
      <c r="E20" s="24" t="s">
        <v>425</v>
      </c>
      <c r="F20" s="2"/>
      <c r="G20" s="2"/>
      <c r="H20" s="2"/>
      <c r="I20" s="2"/>
    </row>
    <row r="21" customFormat="false" ht="15" hidden="false" customHeight="false" outlineLevel="0" collapsed="false">
      <c r="A21" s="2"/>
      <c r="B21" s="22" t="s">
        <v>3044</v>
      </c>
      <c r="C21" s="41" t="n">
        <f aca="false">C20/C19</f>
        <v>0.812745869394178</v>
      </c>
      <c r="D21" s="24" t="s">
        <v>299</v>
      </c>
      <c r="E21" s="24" t="s">
        <v>3045</v>
      </c>
      <c r="F21" s="2"/>
      <c r="G21" s="2"/>
      <c r="H21" s="2"/>
      <c r="I21" s="2"/>
    </row>
    <row r="22" customFormat="false" ht="15" hidden="false" customHeight="false" outlineLevel="0" collapsed="false">
      <c r="A22" s="2"/>
      <c r="B22" s="5" t="s">
        <v>3046</v>
      </c>
      <c r="C22" s="64" t="n">
        <f aca="false">G7</f>
        <v>54</v>
      </c>
      <c r="D22" s="24" t="s">
        <v>103</v>
      </c>
      <c r="E22" s="24" t="s">
        <v>3047</v>
      </c>
      <c r="F22" s="2"/>
      <c r="G22" s="2"/>
      <c r="H22" s="2"/>
      <c r="I22" s="2"/>
    </row>
    <row r="23" customFormat="false" ht="15" hidden="false" customHeight="false" outlineLevel="0" collapsed="false">
      <c r="A23" s="2"/>
      <c r="B23" s="5" t="s">
        <v>3048</v>
      </c>
      <c r="C23" s="64" t="n">
        <f aca="false">Entrées!$C$114-Entrées!$C$113</f>
        <v>30</v>
      </c>
      <c r="D23" s="24" t="s">
        <v>103</v>
      </c>
      <c r="E23" s="24" t="s">
        <v>3049</v>
      </c>
      <c r="F23" s="2"/>
      <c r="G23" s="2"/>
      <c r="H23" s="2"/>
      <c r="I23" s="2"/>
    </row>
    <row r="24" customFormat="false" ht="15" hidden="false" customHeight="false" outlineLevel="0" collapsed="false">
      <c r="A24" s="2"/>
      <c r="B24" s="5" t="s">
        <v>3050</v>
      </c>
      <c r="C24" s="66" t="n">
        <f aca="false">Entrées!$C$227/1000/Entrées!$C$212</f>
        <v>0.0382531339125821</v>
      </c>
      <c r="D24" s="24" t="s">
        <v>299</v>
      </c>
      <c r="E24" s="24" t="s">
        <v>3051</v>
      </c>
      <c r="F24" s="2"/>
      <c r="G24" s="2"/>
      <c r="H24" s="2"/>
      <c r="I24" s="2"/>
    </row>
    <row r="25" customFormat="false" ht="15" hidden="false" customHeight="false" outlineLevel="0" collapsed="false">
      <c r="A25" s="2"/>
      <c r="B25" s="5" t="s">
        <v>3052</v>
      </c>
      <c r="C25" s="99" t="n">
        <f aca="false">(Entrées!$C$206+Entrées!$C$207)/1000</f>
        <v>50.992</v>
      </c>
      <c r="D25" s="24" t="s">
        <v>249</v>
      </c>
      <c r="E25" s="24" t="s">
        <v>3053</v>
      </c>
      <c r="F25" s="2"/>
      <c r="G25" s="2"/>
      <c r="H25" s="2"/>
      <c r="I25" s="2"/>
    </row>
    <row r="26" customFormat="false" ht="15" hidden="false" customHeight="false" outlineLevel="0" collapsed="false">
      <c r="A26" s="2"/>
      <c r="B26" s="5" t="s">
        <v>3054</v>
      </c>
      <c r="C26" s="66" t="n">
        <f aca="false">C25/Entrées!$C$197</f>
        <v>0.0523585583735496</v>
      </c>
      <c r="D26" s="24" t="s">
        <v>299</v>
      </c>
      <c r="E26" s="24" t="s">
        <v>703</v>
      </c>
      <c r="F26" s="2"/>
      <c r="G26" s="2"/>
      <c r="H26" s="2"/>
      <c r="I26" s="2"/>
    </row>
    <row r="27" customFormat="false" ht="15" hidden="false" customHeight="false" outlineLevel="0" collapsed="false">
      <c r="A27" s="2"/>
      <c r="B27" s="5" t="s">
        <v>3055</v>
      </c>
      <c r="C27" s="99" t="n">
        <f aca="false">C24*Entrées!$C$197</f>
        <v>37.2547271174637</v>
      </c>
      <c r="D27" s="24" t="s">
        <v>249</v>
      </c>
      <c r="E27" s="24" t="s">
        <v>3056</v>
      </c>
      <c r="F27" s="2"/>
      <c r="G27" s="2"/>
      <c r="H27" s="2"/>
      <c r="I27" s="2"/>
    </row>
    <row r="28" customFormat="false" ht="15" hidden="false" customHeight="false" outlineLevel="0" collapsed="false">
      <c r="A28" s="2"/>
      <c r="B28" s="22" t="s">
        <v>3057</v>
      </c>
      <c r="C28" s="46"/>
      <c r="D28" s="24" t="s">
        <v>103</v>
      </c>
      <c r="E28" s="24" t="s">
        <v>3058</v>
      </c>
      <c r="F28" s="2"/>
      <c r="G28" s="2"/>
      <c r="H28" s="2"/>
      <c r="I28" s="2"/>
    </row>
    <row r="29" customFormat="false" ht="15" hidden="false" customHeight="false" outlineLevel="0" collapsed="false">
      <c r="A29" s="2"/>
      <c r="B29" s="22" t="s">
        <v>3059</v>
      </c>
      <c r="C29" s="51" t="n">
        <f aca="false">IF(ISNUMBER(C28),C28/Trajectoire!$D$41,0)</f>
        <v>0</v>
      </c>
      <c r="D29" s="24" t="s">
        <v>133</v>
      </c>
      <c r="E29" s="24" t="s">
        <v>3060</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3061</v>
      </c>
      <c r="B32" s="22" t="s">
        <v>3062</v>
      </c>
      <c r="C32" s="2"/>
      <c r="D32" s="2"/>
      <c r="E32" s="2"/>
      <c r="F32" s="2"/>
      <c r="G32" s="2"/>
      <c r="H32" s="2"/>
      <c r="I32" s="2"/>
    </row>
    <row r="33" customFormat="false" ht="23.85" hidden="false" customHeight="false" outlineLevel="0" collapsed="false">
      <c r="A33" s="21"/>
      <c r="B33" s="21" t="s">
        <v>3063</v>
      </c>
      <c r="C33" s="21" t="s">
        <v>3064</v>
      </c>
      <c r="D33" s="21" t="s">
        <v>3065</v>
      </c>
      <c r="E33" s="21" t="s">
        <v>3066</v>
      </c>
      <c r="F33" s="21" t="s">
        <v>3067</v>
      </c>
      <c r="G33" s="21" t="s">
        <v>3068</v>
      </c>
      <c r="H33" s="21" t="s">
        <v>3069</v>
      </c>
      <c r="I33" s="21" t="s">
        <v>2048</v>
      </c>
    </row>
    <row r="34" customFormat="false" ht="15" hidden="false" customHeight="false" outlineLevel="0" collapsed="false">
      <c r="A34" s="2"/>
      <c r="B34" s="5" t="s">
        <v>3070</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3071</v>
      </c>
    </row>
    <row r="35" customFormat="false" ht="15" hidden="false" customHeight="false" outlineLevel="0" collapsed="false">
      <c r="A35" s="2"/>
      <c r="B35" s="5" t="s">
        <v>3072</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3073</v>
      </c>
    </row>
    <row r="36" customFormat="false" ht="15" hidden="false" customHeight="false" outlineLevel="0" collapsed="false">
      <c r="A36" s="2"/>
      <c r="B36" s="5" t="s">
        <v>3074</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3075</v>
      </c>
    </row>
    <row r="37" customFormat="false" ht="15" hidden="false" customHeight="false" outlineLevel="0" collapsed="false">
      <c r="A37" s="2"/>
      <c r="B37" s="5" t="s">
        <v>3076</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3077</v>
      </c>
    </row>
    <row r="38" customFormat="false" ht="15" hidden="false" customHeight="false" outlineLevel="0" collapsed="false">
      <c r="A38" s="2"/>
      <c r="B38" s="5" t="s">
        <v>3078</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3079</v>
      </c>
    </row>
    <row r="39" customFormat="false" ht="15" hidden="false" customHeight="false" outlineLevel="0" collapsed="false">
      <c r="A39" s="2"/>
      <c r="B39" s="5" t="s">
        <v>3080</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3081</v>
      </c>
    </row>
    <row r="40" customFormat="false" ht="15" hidden="false" customHeight="false" outlineLevel="0" collapsed="false">
      <c r="A40" s="2"/>
      <c r="B40" s="22" t="s">
        <v>3082</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3083</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3084</v>
      </c>
      <c r="C42" s="64" t="n">
        <f aca="false">Entrées!$C$496*1000</f>
        <v>4500</v>
      </c>
      <c r="D42" s="24" t="s">
        <v>103</v>
      </c>
      <c r="E42" s="24" t="s">
        <v>1545</v>
      </c>
      <c r="F42" s="2"/>
      <c r="G42" s="2"/>
      <c r="H42" s="2"/>
      <c r="I42" s="2"/>
    </row>
    <row r="43" customFormat="false" ht="15" hidden="false" customHeight="false" outlineLevel="0" collapsed="false">
      <c r="A43" s="2"/>
      <c r="B43" s="22" t="s">
        <v>3085</v>
      </c>
      <c r="C43" s="41" t="n">
        <f aca="false">F41/C42</f>
        <v>0.466666666666667</v>
      </c>
      <c r="D43" s="24" t="s">
        <v>299</v>
      </c>
      <c r="E43" s="24" t="s">
        <v>3086</v>
      </c>
      <c r="F43" s="2"/>
      <c r="G43" s="2"/>
      <c r="H43" s="2"/>
      <c r="I43" s="2"/>
    </row>
    <row r="44" customFormat="false" ht="15" hidden="false" customHeight="false" outlineLevel="0" collapsed="false">
      <c r="A44" s="2"/>
      <c r="B44" s="5" t="s">
        <v>3087</v>
      </c>
      <c r="C44" s="66" t="n">
        <f aca="false">Entrées!$C$504/100</f>
        <v>0.472</v>
      </c>
      <c r="D44" s="24" t="s">
        <v>299</v>
      </c>
      <c r="E44" s="24" t="s">
        <v>1566</v>
      </c>
      <c r="F44" s="2"/>
      <c r="G44" s="2"/>
      <c r="H44" s="2"/>
      <c r="I44" s="2"/>
    </row>
    <row r="45" customFormat="false" ht="15" hidden="false" customHeight="false" outlineLevel="0" collapsed="false">
      <c r="A45" s="2"/>
      <c r="B45" s="5" t="s">
        <v>3088</v>
      </c>
      <c r="C45" s="64" t="n">
        <f aca="false">Entrées!$C$501*1000</f>
        <v>1800</v>
      </c>
      <c r="D45" s="24" t="s">
        <v>103</v>
      </c>
      <c r="E45" s="24" t="s">
        <v>3089</v>
      </c>
      <c r="F45" s="2"/>
      <c r="G45" s="2"/>
      <c r="H45" s="2"/>
      <c r="I45" s="2"/>
    </row>
    <row r="46" customFormat="false" ht="15" hidden="false" customHeight="false" outlineLevel="0" collapsed="false">
      <c r="A46" s="2"/>
      <c r="B46" s="22" t="s">
        <v>3090</v>
      </c>
      <c r="C46" s="41" t="n">
        <f aca="false">F36/F41</f>
        <v>0.142857142857143</v>
      </c>
      <c r="D46" s="24" t="s">
        <v>299</v>
      </c>
      <c r="E46" s="24"/>
      <c r="F46" s="2"/>
      <c r="G46" s="2"/>
      <c r="H46" s="2"/>
      <c r="I46" s="2"/>
    </row>
    <row r="47" customFormat="false" ht="15" hidden="false" customHeight="false" outlineLevel="0" collapsed="false">
      <c r="A47" s="2"/>
      <c r="B47" s="22" t="s">
        <v>3091</v>
      </c>
      <c r="C47" s="41" t="n">
        <f aca="false">G36</f>
        <v>0.75</v>
      </c>
      <c r="D47" s="24" t="s">
        <v>299</v>
      </c>
      <c r="E47" s="24"/>
      <c r="F47" s="2"/>
      <c r="G47" s="2"/>
      <c r="H47" s="2"/>
      <c r="I47" s="2"/>
    </row>
    <row r="48" customFormat="false" ht="15" hidden="false" customHeight="false" outlineLevel="0" collapsed="false">
      <c r="A48" s="2"/>
      <c r="B48" s="5" t="s">
        <v>3092</v>
      </c>
      <c r="C48" s="64" t="n">
        <f aca="false">C42-E41</f>
        <v>1500</v>
      </c>
      <c r="D48" s="24" t="s">
        <v>103</v>
      </c>
      <c r="E48" s="24" t="s">
        <v>3093</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3094</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3095</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2130</v>
      </c>
      <c r="B4" s="22" t="s">
        <v>3096</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3097</v>
      </c>
      <c r="C5" s="21" t="s">
        <v>3098</v>
      </c>
      <c r="D5" s="21" t="s">
        <v>3099</v>
      </c>
      <c r="E5" s="21" t="s">
        <v>3100</v>
      </c>
      <c r="F5" s="21" t="s">
        <v>2808</v>
      </c>
      <c r="G5" s="2"/>
      <c r="H5" s="2"/>
      <c r="I5" s="2"/>
      <c r="J5" s="2"/>
      <c r="K5" s="2"/>
      <c r="L5" s="2"/>
      <c r="M5" s="2"/>
      <c r="N5" s="2"/>
      <c r="O5" s="2"/>
      <c r="P5" s="2"/>
      <c r="Q5" s="2"/>
      <c r="R5" s="2"/>
      <c r="S5" s="2"/>
      <c r="T5" s="2"/>
    </row>
    <row r="6" customFormat="false" ht="15" hidden="false" customHeight="false" outlineLevel="0" collapsed="false">
      <c r="A6" s="2"/>
      <c r="B6" s="5" t="s">
        <v>3101</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3102</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2658</v>
      </c>
      <c r="C8" s="68" t="n">
        <f aca="false">Trajectoire!$AE$58</f>
        <v>-534.954329754553</v>
      </c>
      <c r="D8" s="68" t="n">
        <f aca="false">Trajectoire!$D$58</f>
        <v>1570.67466937297</v>
      </c>
      <c r="E8" s="68" t="n">
        <f aca="false">Trajectoire!$AF$58</f>
        <v>3490.715111665</v>
      </c>
      <c r="F8" s="24" t="s">
        <v>3103</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3104</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3105</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3106</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3107</v>
      </c>
      <c r="G12" s="2"/>
      <c r="H12" s="2"/>
      <c r="I12" s="2"/>
      <c r="J12" s="2"/>
      <c r="K12" s="2"/>
      <c r="L12" s="2"/>
      <c r="M12" s="2"/>
      <c r="N12" s="2"/>
      <c r="O12" s="2"/>
      <c r="P12" s="2"/>
      <c r="Q12" s="2"/>
      <c r="R12" s="2"/>
      <c r="S12" s="2"/>
      <c r="T12" s="2"/>
    </row>
    <row r="13" customFormat="false" ht="15" hidden="false" customHeight="false" outlineLevel="0" collapsed="false">
      <c r="A13" s="2"/>
      <c r="B13" s="3" t="s">
        <v>3108</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2143</v>
      </c>
      <c r="B15" s="22" t="s">
        <v>3109</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3110</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3111</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3112</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3113</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3114</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3115</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3116</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2457</v>
      </c>
      <c r="B24" s="22" t="s">
        <v>3117</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3118</v>
      </c>
      <c r="C25" s="21" t="s">
        <v>3119</v>
      </c>
      <c r="D25" s="21" t="s">
        <v>2044</v>
      </c>
      <c r="E25" s="21" t="s">
        <v>2048</v>
      </c>
      <c r="F25" s="21" t="s">
        <v>3120</v>
      </c>
      <c r="G25" s="2"/>
      <c r="H25" s="2"/>
      <c r="I25" s="2"/>
      <c r="J25" s="2"/>
      <c r="K25" s="2"/>
      <c r="L25" s="2"/>
      <c r="M25" s="2"/>
      <c r="N25" s="2"/>
      <c r="O25" s="2"/>
      <c r="P25" s="2"/>
      <c r="Q25" s="2"/>
      <c r="R25" s="2"/>
      <c r="S25" s="2"/>
      <c r="T25" s="2"/>
    </row>
    <row r="26" customFormat="false" ht="15" hidden="false" customHeight="false" outlineLevel="0" collapsed="false">
      <c r="A26" s="2"/>
      <c r="B26" s="5" t="s">
        <v>3121</v>
      </c>
      <c r="C26" s="89" t="n">
        <f aca="false">Entrées!$C$450</f>
        <v>7.4</v>
      </c>
      <c r="D26" s="24" t="s">
        <v>3122</v>
      </c>
      <c r="E26" s="24" t="s">
        <v>1399</v>
      </c>
      <c r="F26" s="24" t="s">
        <v>3123</v>
      </c>
      <c r="G26" s="2"/>
      <c r="H26" s="2"/>
      <c r="I26" s="2"/>
      <c r="J26" s="2"/>
      <c r="K26" s="2"/>
      <c r="L26" s="2"/>
      <c r="M26" s="2"/>
      <c r="N26" s="2"/>
      <c r="O26" s="2"/>
      <c r="P26" s="2"/>
      <c r="Q26" s="2"/>
      <c r="R26" s="2"/>
      <c r="S26" s="2"/>
      <c r="T26" s="2"/>
    </row>
    <row r="27" customFormat="false" ht="15" hidden="false" customHeight="false" outlineLevel="0" collapsed="false">
      <c r="A27" s="2"/>
      <c r="B27" s="5" t="s">
        <v>3124</v>
      </c>
      <c r="C27" s="89" t="n">
        <f aca="false">Entrées!$C$477</f>
        <v>9</v>
      </c>
      <c r="D27" s="24" t="s">
        <v>3125</v>
      </c>
      <c r="E27" s="24" t="s">
        <v>1475</v>
      </c>
      <c r="F27" s="24" t="s">
        <v>3126</v>
      </c>
      <c r="G27" s="2"/>
      <c r="H27" s="2"/>
      <c r="I27" s="2"/>
      <c r="J27" s="2"/>
      <c r="K27" s="2"/>
      <c r="L27" s="2"/>
      <c r="M27" s="2"/>
      <c r="N27" s="2"/>
      <c r="O27" s="2"/>
      <c r="P27" s="2"/>
      <c r="Q27" s="2"/>
      <c r="R27" s="2"/>
      <c r="S27" s="2"/>
      <c r="T27" s="2"/>
    </row>
    <row r="28" customFormat="false" ht="15" hidden="false" customHeight="false" outlineLevel="0" collapsed="false">
      <c r="A28" s="2"/>
      <c r="B28" s="5" t="s">
        <v>3127</v>
      </c>
      <c r="C28" s="89" t="n">
        <f aca="false">Entrées!$C$53</f>
        <v>9.8</v>
      </c>
      <c r="D28" s="24" t="s">
        <v>3128</v>
      </c>
      <c r="E28" s="24" t="s">
        <v>278</v>
      </c>
      <c r="F28" s="24" t="s">
        <v>3129</v>
      </c>
      <c r="G28" s="2"/>
      <c r="H28" s="2"/>
      <c r="I28" s="2"/>
      <c r="J28" s="2"/>
      <c r="K28" s="2"/>
      <c r="L28" s="2"/>
      <c r="M28" s="2"/>
      <c r="N28" s="2"/>
      <c r="O28" s="2"/>
      <c r="P28" s="2"/>
      <c r="Q28" s="2"/>
      <c r="R28" s="2"/>
      <c r="S28" s="2"/>
      <c r="T28" s="2"/>
    </row>
    <row r="29" customFormat="false" ht="15" hidden="false" customHeight="false" outlineLevel="0" collapsed="false">
      <c r="A29" s="2"/>
      <c r="B29" s="5" t="s">
        <v>3130</v>
      </c>
      <c r="C29" s="89" t="n">
        <f aca="false">Entrées!$C$478</f>
        <v>11</v>
      </c>
      <c r="D29" s="24" t="s">
        <v>3131</v>
      </c>
      <c r="E29" s="24" t="s">
        <v>1477</v>
      </c>
      <c r="F29" s="24" t="s">
        <v>3132</v>
      </c>
      <c r="G29" s="2"/>
      <c r="H29" s="2"/>
      <c r="I29" s="2"/>
      <c r="J29" s="2"/>
      <c r="K29" s="2"/>
      <c r="L29" s="2"/>
      <c r="M29" s="2"/>
      <c r="N29" s="2"/>
      <c r="O29" s="2"/>
      <c r="P29" s="2"/>
      <c r="Q29" s="2"/>
      <c r="R29" s="2"/>
      <c r="S29" s="2"/>
      <c r="T29" s="2"/>
    </row>
    <row r="30" customFormat="false" ht="15" hidden="false" customHeight="false" outlineLevel="0" collapsed="false">
      <c r="A30" s="2"/>
      <c r="B30" s="5" t="s">
        <v>3133</v>
      </c>
      <c r="C30" s="89" t="n">
        <f aca="false">Cibles!$C$19</f>
        <v>15</v>
      </c>
      <c r="D30" s="24" t="s">
        <v>3134</v>
      </c>
      <c r="E30" s="24" t="s">
        <v>3135</v>
      </c>
      <c r="F30" s="24" t="s">
        <v>3136</v>
      </c>
      <c r="G30" s="2"/>
      <c r="H30" s="2"/>
      <c r="I30" s="2"/>
      <c r="J30" s="2"/>
      <c r="K30" s="2"/>
      <c r="L30" s="2"/>
      <c r="M30" s="2"/>
      <c r="N30" s="2"/>
      <c r="O30" s="2"/>
      <c r="P30" s="2"/>
      <c r="Q30" s="2"/>
      <c r="R30" s="2"/>
      <c r="S30" s="2"/>
      <c r="T30" s="2"/>
    </row>
    <row r="31" customFormat="false" ht="15" hidden="false" customHeight="false" outlineLevel="0" collapsed="false">
      <c r="A31" s="2"/>
      <c r="B31" s="5" t="s">
        <v>3137</v>
      </c>
      <c r="C31" s="89" t="n">
        <f aca="false">Booster!$C$52</f>
        <v>19.339616559869</v>
      </c>
      <c r="D31" s="24" t="s">
        <v>3138</v>
      </c>
      <c r="E31" s="24" t="s">
        <v>3139</v>
      </c>
      <c r="F31" s="24" t="s">
        <v>3136</v>
      </c>
      <c r="G31" s="2"/>
      <c r="H31" s="2"/>
      <c r="I31" s="2"/>
      <c r="J31" s="2"/>
      <c r="K31" s="2"/>
      <c r="L31" s="2"/>
      <c r="M31" s="2"/>
      <c r="N31" s="2"/>
      <c r="O31" s="2"/>
      <c r="P31" s="2"/>
      <c r="Q31" s="2"/>
      <c r="R31" s="2"/>
      <c r="S31" s="2"/>
      <c r="T31" s="2"/>
    </row>
    <row r="32" customFormat="false" ht="15" hidden="false" customHeight="false" outlineLevel="0" collapsed="false">
      <c r="A32" s="2"/>
      <c r="B32" s="22" t="s">
        <v>3140</v>
      </c>
      <c r="C32" s="48" t="n">
        <f aca="false">MIN(C26:C29)</f>
        <v>7.4</v>
      </c>
      <c r="D32" s="24" t="s">
        <v>133</v>
      </c>
      <c r="E32" s="24" t="s">
        <v>3141</v>
      </c>
      <c r="F32" s="2"/>
      <c r="G32" s="2"/>
      <c r="H32" s="2"/>
      <c r="I32" s="2"/>
      <c r="J32" s="2"/>
      <c r="K32" s="2"/>
      <c r="L32" s="2"/>
      <c r="M32" s="2"/>
      <c r="N32" s="2"/>
      <c r="O32" s="2"/>
      <c r="P32" s="2"/>
      <c r="Q32" s="2"/>
      <c r="R32" s="2"/>
      <c r="S32" s="2"/>
      <c r="T32" s="2"/>
    </row>
    <row r="33" customFormat="false" ht="15" hidden="false" customHeight="false" outlineLevel="0" collapsed="false">
      <c r="A33" s="2"/>
      <c r="B33" s="5" t="s">
        <v>3142</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3143</v>
      </c>
      <c r="C34" s="48" t="n">
        <f aca="false">MAX(C26:C29)</f>
        <v>11</v>
      </c>
      <c r="D34" s="24" t="s">
        <v>133</v>
      </c>
      <c r="E34" s="24" t="s">
        <v>3144</v>
      </c>
      <c r="F34" s="2"/>
      <c r="G34" s="2"/>
      <c r="H34" s="2"/>
      <c r="I34" s="2"/>
      <c r="J34" s="2"/>
      <c r="K34" s="2"/>
      <c r="L34" s="2"/>
      <c r="M34" s="2"/>
      <c r="N34" s="2"/>
      <c r="O34" s="2"/>
      <c r="P34" s="2"/>
      <c r="Q34" s="2"/>
      <c r="R34" s="2"/>
      <c r="S34" s="2"/>
      <c r="T34" s="2"/>
    </row>
    <row r="35" customFormat="false" ht="15" hidden="false" customHeight="false" outlineLevel="0" collapsed="false">
      <c r="A35" s="2"/>
      <c r="B35" s="5" t="s">
        <v>3145</v>
      </c>
      <c r="C35" s="90" t="n">
        <f aca="false">C30-C28</f>
        <v>5.2</v>
      </c>
      <c r="D35" s="24" t="s">
        <v>133</v>
      </c>
      <c r="E35" s="24" t="s">
        <v>3146</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2475</v>
      </c>
      <c r="B38" s="22" t="s">
        <v>3147</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3148</v>
      </c>
      <c r="C39" s="21" t="s">
        <v>3149</v>
      </c>
      <c r="D39" s="21" t="s">
        <v>3150</v>
      </c>
      <c r="E39" s="21" t="s">
        <v>3151</v>
      </c>
      <c r="F39" s="21" t="s">
        <v>3115</v>
      </c>
      <c r="G39" s="21" t="s">
        <v>3152</v>
      </c>
      <c r="H39" s="21" t="s">
        <v>2048</v>
      </c>
      <c r="I39" s="2"/>
      <c r="J39" s="2"/>
      <c r="K39" s="2"/>
      <c r="L39" s="2"/>
      <c r="M39" s="2"/>
      <c r="N39" s="2"/>
      <c r="O39" s="2"/>
      <c r="P39" s="2"/>
      <c r="Q39" s="2"/>
      <c r="R39" s="2"/>
      <c r="S39" s="2"/>
      <c r="T39" s="2"/>
    </row>
    <row r="40" customFormat="false" ht="15" hidden="false" customHeight="false" outlineLevel="0" collapsed="false">
      <c r="A40" s="2"/>
      <c r="B40" s="5" t="s">
        <v>3153</v>
      </c>
      <c r="C40" s="61" t="n">
        <f aca="false">Entrées!$C$606</f>
        <v>470</v>
      </c>
      <c r="D40" s="61" t="n">
        <f aca="false">Entrées!$C$607</f>
        <v>27</v>
      </c>
      <c r="E40" s="48" t="n">
        <f aca="false">C40/D40</f>
        <v>17.4074074074074</v>
      </c>
      <c r="F40" s="89" t="n">
        <f aca="false">Entrées!$C$612</f>
        <v>8.9</v>
      </c>
      <c r="G40" s="24" t="s">
        <v>3154</v>
      </c>
      <c r="H40" s="24" t="s">
        <v>3155</v>
      </c>
      <c r="I40" s="2"/>
      <c r="J40" s="2"/>
      <c r="K40" s="2"/>
      <c r="L40" s="2"/>
      <c r="M40" s="2"/>
      <c r="N40" s="2"/>
      <c r="O40" s="2"/>
      <c r="P40" s="2"/>
      <c r="Q40" s="2"/>
      <c r="R40" s="2"/>
      <c r="S40" s="2"/>
      <c r="T40" s="2"/>
    </row>
    <row r="41" customFormat="false" ht="15" hidden="false" customHeight="false" outlineLevel="0" collapsed="false">
      <c r="A41" s="2"/>
      <c r="B41" s="5" t="s">
        <v>3156</v>
      </c>
      <c r="C41" s="61" t="n">
        <f aca="false">Entrées!$C$483</f>
        <v>400</v>
      </c>
      <c r="D41" s="61" t="n">
        <f aca="false">Entrées!$C$484</f>
        <v>36</v>
      </c>
      <c r="E41" s="48" t="n">
        <f aca="false">C41/D41</f>
        <v>11.1111111111111</v>
      </c>
      <c r="F41" s="89" t="n">
        <f aca="false">Entrées!$C$488</f>
        <v>7.1</v>
      </c>
      <c r="G41" s="24" t="s">
        <v>3157</v>
      </c>
      <c r="H41" s="24" t="s">
        <v>3158</v>
      </c>
      <c r="I41" s="2"/>
      <c r="J41" s="2"/>
      <c r="K41" s="2"/>
      <c r="L41" s="2"/>
      <c r="M41" s="2"/>
      <c r="N41" s="2"/>
      <c r="O41" s="2"/>
      <c r="P41" s="2"/>
      <c r="Q41" s="2"/>
      <c r="R41" s="2"/>
      <c r="S41" s="2"/>
      <c r="T41" s="2"/>
    </row>
    <row r="42" customFormat="false" ht="15" hidden="false" customHeight="false" outlineLevel="0" collapsed="false">
      <c r="A42" s="2"/>
      <c r="B42" s="5" t="s">
        <v>3159</v>
      </c>
      <c r="C42" s="61" t="n">
        <f aca="false">Entrées!$C$489*1000</f>
        <v>5300</v>
      </c>
      <c r="D42" s="61" t="n">
        <f aca="false">Entrées!$C$491</f>
        <v>460</v>
      </c>
      <c r="E42" s="48" t="n">
        <f aca="false">C42/D42</f>
        <v>11.5217391304348</v>
      </c>
      <c r="F42" s="53" t="s">
        <v>2057</v>
      </c>
      <c r="G42" s="24" t="s">
        <v>3160</v>
      </c>
      <c r="H42" s="24" t="s">
        <v>3161</v>
      </c>
      <c r="I42" s="2"/>
      <c r="J42" s="2"/>
      <c r="K42" s="2"/>
      <c r="L42" s="2"/>
      <c r="M42" s="2"/>
      <c r="N42" s="2"/>
      <c r="O42" s="2"/>
      <c r="P42" s="2"/>
      <c r="Q42" s="2"/>
      <c r="R42" s="2"/>
      <c r="S42" s="2"/>
      <c r="T42" s="2"/>
    </row>
    <row r="43" customFormat="false" ht="15" hidden="false" customHeight="false" outlineLevel="0" collapsed="false">
      <c r="A43" s="2"/>
      <c r="B43" s="5" t="s">
        <v>3162</v>
      </c>
      <c r="C43" s="61" t="n">
        <f aca="false">Entrées!$C$479*1000</f>
        <v>7200</v>
      </c>
      <c r="D43" s="107" t="s">
        <v>2519</v>
      </c>
      <c r="E43" s="53" t="s">
        <v>2057</v>
      </c>
      <c r="F43" s="53" t="s">
        <v>2057</v>
      </c>
      <c r="G43" s="24" t="s">
        <v>3163</v>
      </c>
      <c r="H43" s="24" t="s">
        <v>1483</v>
      </c>
      <c r="I43" s="2"/>
      <c r="J43" s="2"/>
      <c r="K43" s="2"/>
      <c r="L43" s="2"/>
      <c r="M43" s="2"/>
      <c r="N43" s="2"/>
      <c r="O43" s="2"/>
      <c r="P43" s="2"/>
      <c r="Q43" s="2"/>
      <c r="R43" s="2"/>
      <c r="S43" s="2"/>
      <c r="T43" s="2"/>
    </row>
    <row r="44" customFormat="false" ht="15" hidden="false" customHeight="false" outlineLevel="0" collapsed="false">
      <c r="A44" s="2"/>
      <c r="B44" s="5" t="s">
        <v>3164</v>
      </c>
      <c r="C44" s="61" t="n">
        <f aca="false">Entrées!$C$530*1000</f>
        <v>2200</v>
      </c>
      <c r="D44" s="61" t="n">
        <f aca="false">Entrées!$C$532</f>
        <v>156</v>
      </c>
      <c r="E44" s="48" t="n">
        <f aca="false">C44/D44</f>
        <v>14.1025641025641</v>
      </c>
      <c r="F44" s="53" t="s">
        <v>2057</v>
      </c>
      <c r="G44" s="24" t="s">
        <v>3165</v>
      </c>
      <c r="H44" s="24" t="s">
        <v>3166</v>
      </c>
      <c r="I44" s="2"/>
      <c r="J44" s="2"/>
      <c r="K44" s="2"/>
      <c r="L44" s="2"/>
      <c r="M44" s="2"/>
      <c r="N44" s="2"/>
      <c r="O44" s="2"/>
      <c r="P44" s="2"/>
      <c r="Q44" s="2"/>
      <c r="R44" s="2"/>
      <c r="S44" s="2"/>
      <c r="T44" s="2"/>
    </row>
    <row r="45" customFormat="false" ht="15" hidden="false" customHeight="false" outlineLevel="0" collapsed="false">
      <c r="A45" s="2"/>
      <c r="B45" s="22" t="s">
        <v>3167</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3168</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3169</v>
      </c>
      <c r="C47" s="48" t="n">
        <f aca="false">MEDIAN(E40:E44)</f>
        <v>12.8121516164994</v>
      </c>
      <c r="D47" s="24" t="s">
        <v>133</v>
      </c>
      <c r="E47" s="24" t="s">
        <v>3170</v>
      </c>
      <c r="F47" s="2"/>
      <c r="G47" s="2"/>
      <c r="H47" s="2"/>
      <c r="I47" s="2"/>
      <c r="J47" s="2"/>
      <c r="K47" s="2"/>
      <c r="L47" s="2"/>
      <c r="M47" s="2"/>
      <c r="N47" s="2"/>
      <c r="O47" s="2"/>
      <c r="P47" s="2"/>
      <c r="Q47" s="2"/>
      <c r="R47" s="2"/>
      <c r="S47" s="2"/>
      <c r="T47" s="2"/>
    </row>
    <row r="48" customFormat="false" ht="15" hidden="false" customHeight="false" outlineLevel="0" collapsed="false">
      <c r="A48" s="2"/>
      <c r="B48" s="5" t="s">
        <v>3171</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3172</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3173</v>
      </c>
      <c r="C50" s="48" t="n">
        <f aca="false">Cibles!$C$19-Cibles!$C$46</f>
        <v>-2.40740740740741</v>
      </c>
      <c r="D50" s="24" t="s">
        <v>133</v>
      </c>
      <c r="E50" s="24" t="s">
        <v>3174</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2308</v>
      </c>
      <c r="B53" s="22" t="s">
        <v>3175</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3176</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3177</v>
      </c>
      <c r="C55" s="117" t="n">
        <f aca="false">Cibles!$C$47</f>
        <v>12.8121516164994</v>
      </c>
      <c r="D55" s="24" t="s">
        <v>133</v>
      </c>
      <c r="E55" s="24" t="s">
        <v>3178</v>
      </c>
      <c r="F55" s="2"/>
      <c r="G55" s="2"/>
      <c r="H55" s="2"/>
      <c r="I55" s="2"/>
      <c r="J55" s="2"/>
      <c r="K55" s="2"/>
      <c r="L55" s="2"/>
      <c r="M55" s="2"/>
      <c r="N55" s="2"/>
      <c r="O55" s="2"/>
      <c r="P55" s="2"/>
      <c r="Q55" s="2"/>
      <c r="R55" s="2"/>
      <c r="S55" s="2"/>
      <c r="T55" s="2"/>
    </row>
    <row r="56" customFormat="false" ht="15" hidden="false" customHeight="false" outlineLevel="0" collapsed="false">
      <c r="A56" s="2"/>
      <c r="B56" s="5" t="s">
        <v>3179</v>
      </c>
      <c r="C56" s="95" t="n">
        <f aca="false">Entrées!$C$620</f>
        <v>1.6058</v>
      </c>
      <c r="D56" s="24" t="s">
        <v>3180</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3181</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3182</v>
      </c>
      <c r="N59" s="119" t="n">
        <v>1</v>
      </c>
      <c r="O59" s="119" t="n">
        <v>1</v>
      </c>
      <c r="P59" s="119" t="n">
        <v>1</v>
      </c>
      <c r="Q59" s="119" t="n">
        <v>1</v>
      </c>
      <c r="R59" s="119" t="n">
        <v>1</v>
      </c>
      <c r="S59" s="2"/>
      <c r="T59" s="2"/>
    </row>
    <row r="60" customFormat="false" ht="35.05" hidden="false" customHeight="false" outlineLevel="0" collapsed="false">
      <c r="A60" s="21"/>
      <c r="B60" s="21" t="s">
        <v>3183</v>
      </c>
      <c r="C60" s="21" t="s">
        <v>2980</v>
      </c>
      <c r="D60" s="21" t="s">
        <v>3184</v>
      </c>
      <c r="E60" s="21" t="s">
        <v>3185</v>
      </c>
      <c r="F60" s="21" t="s">
        <v>3186</v>
      </c>
      <c r="G60" s="21" t="s">
        <v>93</v>
      </c>
      <c r="H60" s="21" t="s">
        <v>2044</v>
      </c>
      <c r="I60" s="21" t="s">
        <v>3187</v>
      </c>
      <c r="J60" s="21" t="s">
        <v>3188</v>
      </c>
      <c r="K60" s="21" t="s">
        <v>3189</v>
      </c>
      <c r="L60" s="21" t="s">
        <v>3190</v>
      </c>
      <c r="M60" s="21" t="s">
        <v>3191</v>
      </c>
      <c r="N60" s="21" t="s">
        <v>3192</v>
      </c>
      <c r="O60" s="21" t="s">
        <v>3193</v>
      </c>
      <c r="P60" s="21" t="s">
        <v>3194</v>
      </c>
      <c r="Q60" s="21" t="s">
        <v>3195</v>
      </c>
      <c r="R60" s="21" t="s">
        <v>3196</v>
      </c>
      <c r="S60" s="21" t="s">
        <v>3197</v>
      </c>
      <c r="T60" s="21" t="s">
        <v>2048</v>
      </c>
    </row>
    <row r="61" customFormat="false" ht="15" hidden="false" customHeight="false" outlineLevel="0" collapsed="false">
      <c r="A61" s="2"/>
      <c r="B61" s="120" t="s">
        <v>3198</v>
      </c>
      <c r="C61" s="120" t="s">
        <v>2482</v>
      </c>
      <c r="D61" s="120" t="s">
        <v>3199</v>
      </c>
      <c r="E61" s="120" t="s">
        <v>3200</v>
      </c>
      <c r="F61" s="61" t="n">
        <f aca="false">-Entrées!$C$81</f>
        <v>2778</v>
      </c>
      <c r="G61" s="24" t="s">
        <v>103</v>
      </c>
      <c r="H61" s="24" t="s">
        <v>3201</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3202</v>
      </c>
    </row>
    <row r="62" customFormat="false" ht="15" hidden="false" customHeight="false" outlineLevel="0" collapsed="false">
      <c r="A62" s="2"/>
      <c r="B62" s="5" t="s">
        <v>3203</v>
      </c>
      <c r="C62" s="5" t="s">
        <v>2482</v>
      </c>
      <c r="D62" s="5" t="s">
        <v>3204</v>
      </c>
      <c r="E62" s="5" t="s">
        <v>3205</v>
      </c>
      <c r="F62" s="121" t="n">
        <v>1.2</v>
      </c>
      <c r="G62" s="24" t="s">
        <v>269</v>
      </c>
      <c r="H62" s="24" t="s">
        <v>3206</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3207</v>
      </c>
    </row>
    <row r="63" customFormat="false" ht="15" hidden="false" customHeight="false" outlineLevel="0" collapsed="false">
      <c r="A63" s="2"/>
      <c r="B63" s="5" t="s">
        <v>3208</v>
      </c>
      <c r="C63" s="5" t="s">
        <v>2482</v>
      </c>
      <c r="D63" s="5" t="s">
        <v>3209</v>
      </c>
      <c r="E63" s="5" t="s">
        <v>3210</v>
      </c>
      <c r="F63" s="107" t="s">
        <v>3211</v>
      </c>
      <c r="G63" s="2"/>
      <c r="H63" s="2"/>
      <c r="I63" s="107" t="s">
        <v>2519</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3212</v>
      </c>
    </row>
    <row r="64" customFormat="false" ht="15" hidden="false" customHeight="false" outlineLevel="0" collapsed="false">
      <c r="A64" s="2"/>
      <c r="B64" s="5" t="s">
        <v>3213</v>
      </c>
      <c r="C64" s="5" t="s">
        <v>2482</v>
      </c>
      <c r="D64" s="5" t="s">
        <v>3214</v>
      </c>
      <c r="E64" s="5" t="s">
        <v>3215</v>
      </c>
      <c r="F64" s="121" t="n">
        <v>1.8</v>
      </c>
      <c r="G64" s="24" t="s">
        <v>269</v>
      </c>
      <c r="H64" s="24" t="s">
        <v>3206</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3216</v>
      </c>
    </row>
    <row r="65" customFormat="false" ht="15" hidden="false" customHeight="false" outlineLevel="0" collapsed="false">
      <c r="A65" s="2"/>
      <c r="B65" s="5" t="s">
        <v>3217</v>
      </c>
      <c r="C65" s="5" t="s">
        <v>3218</v>
      </c>
      <c r="D65" s="5" t="s">
        <v>3219</v>
      </c>
      <c r="E65" s="5" t="s">
        <v>3220</v>
      </c>
      <c r="F65" s="121" t="n">
        <v>8</v>
      </c>
      <c r="G65" s="24" t="s">
        <v>1899</v>
      </c>
      <c r="H65" s="24" t="s">
        <v>3221</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3222</v>
      </c>
    </row>
    <row r="66" customFormat="false" ht="15" hidden="false" customHeight="false" outlineLevel="0" collapsed="false">
      <c r="A66" s="2"/>
      <c r="B66" s="5" t="s">
        <v>3223</v>
      </c>
      <c r="C66" s="5" t="s">
        <v>3224</v>
      </c>
      <c r="D66" s="5" t="s">
        <v>3225</v>
      </c>
      <c r="E66" s="5" t="s">
        <v>3226</v>
      </c>
      <c r="F66" s="121" t="n">
        <v>800</v>
      </c>
      <c r="G66" s="24" t="s">
        <v>103</v>
      </c>
      <c r="H66" s="24" t="s">
        <v>3221</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3227</v>
      </c>
    </row>
    <row r="67" customFormat="false" ht="15" hidden="false" customHeight="false" outlineLevel="0" collapsed="false">
      <c r="A67" s="2"/>
      <c r="B67" s="5" t="s">
        <v>3228</v>
      </c>
      <c r="C67" s="5" t="s">
        <v>2482</v>
      </c>
      <c r="D67" s="5" t="s">
        <v>3229</v>
      </c>
      <c r="E67" s="5" t="s">
        <v>3230</v>
      </c>
      <c r="F67" s="107" t="s">
        <v>3211</v>
      </c>
      <c r="G67" s="2"/>
      <c r="H67" s="2"/>
      <c r="I67" s="107" t="s">
        <v>2519</v>
      </c>
      <c r="J67" s="122" t="n">
        <f aca="false">Cibles!$C$55</f>
        <v>12.8121516164994</v>
      </c>
      <c r="K67" s="5" t="str">
        <f aca="false">IF(AND(ISNUMBER(I67),ISNUMBER(J67)),IF(I67&lt;=IF(J67&gt;Hypothèses!$J$26,MAX(0,$D$8)/(1-Hypothèses!$J$26/J67),0),"oui","non"),"")</f>
        <v/>
      </c>
      <c r="L67" s="106" t="str">
        <f aca="false">IF(AND(ISNUMBER(I67),ISNUMBER(J67)),IF(J67&gt;Hypothèses!$J$26,COUNTIF(Simulation!$BG$16:$BG$1015,"&gt;="&amp;I67*(1-Hypothèses!$J$26/J67))/1000,0),"")</f>
        <v/>
      </c>
      <c r="M67" s="123" t="n">
        <f aca="false">2027-2024</f>
        <v>3</v>
      </c>
      <c r="N67" s="124"/>
      <c r="O67" s="124"/>
      <c r="P67" s="124"/>
      <c r="Q67" s="124"/>
      <c r="R67" s="124"/>
      <c r="S67" s="80" t="str">
        <f aca="false">IF(COUNT(N67:R67)=0,"",SUMPRODUCT($N$59:$R$59,N67:R67)/SUMPRODUCT($N$59:$R$59*(N67:R67&lt;&gt;"")))</f>
        <v/>
      </c>
      <c r="T67" s="24" t="s">
        <v>3231</v>
      </c>
    </row>
    <row r="68" customFormat="false" ht="15" hidden="false" customHeight="false" outlineLevel="0" collapsed="false">
      <c r="A68" s="2"/>
      <c r="B68" s="5" t="s">
        <v>3228</v>
      </c>
      <c r="C68" s="5" t="s">
        <v>3232</v>
      </c>
      <c r="D68" s="5" t="s">
        <v>3233</v>
      </c>
      <c r="E68" s="5" t="s">
        <v>3234</v>
      </c>
      <c r="F68" s="107" t="s">
        <v>3211</v>
      </c>
      <c r="G68" s="2"/>
      <c r="H68" s="2"/>
      <c r="I68" s="107" t="s">
        <v>2519</v>
      </c>
      <c r="J68" s="122" t="n">
        <f aca="false">Cibles!$C$55</f>
        <v>12.8121516164994</v>
      </c>
      <c r="K68" s="5" t="str">
        <f aca="false">IF(AND(ISNUMBER(I68),ISNUMBER(J68)),IF(I68&lt;=IF(J68&gt;Hypothèses!$J$26,MAX(0,$D$8)/(1-Hypothèses!$J$26/J68),0),"oui","non"),"")</f>
        <v/>
      </c>
      <c r="L68" s="106" t="str">
        <f aca="false">IF(AND(ISNUMBER(I68),ISNUMBER(J68)),IF(J68&gt;Hypothèses!$J$26,COUNTIF(Simulation!$BG$16:$BG$1015,"&gt;="&amp;I68*(1-Hypothèses!$J$26/J68))/1000,0),"")</f>
        <v/>
      </c>
      <c r="M68" s="123" t="n">
        <f aca="false">2027-2025</f>
        <v>2</v>
      </c>
      <c r="N68" s="124"/>
      <c r="O68" s="124"/>
      <c r="P68" s="124"/>
      <c r="Q68" s="124"/>
      <c r="R68" s="124"/>
      <c r="S68" s="80" t="str">
        <f aca="false">IF(COUNT(N68:R68)=0,"",SUMPRODUCT($N$59:$R$59,N68:R68)/SUMPRODUCT($N$59:$R$59*(N68:R68&lt;&gt;"")))</f>
        <v/>
      </c>
      <c r="T68" s="24" t="s">
        <v>3235</v>
      </c>
    </row>
    <row r="69" customFormat="false" ht="15" hidden="false" customHeight="false" outlineLevel="0" collapsed="false">
      <c r="A69" s="2"/>
      <c r="B69" s="5" t="s">
        <v>3236</v>
      </c>
      <c r="C69" s="5" t="s">
        <v>3237</v>
      </c>
      <c r="D69" s="5" t="s">
        <v>3238</v>
      </c>
      <c r="E69" s="5" t="s">
        <v>3239</v>
      </c>
      <c r="F69" s="107" t="s">
        <v>3211</v>
      </c>
      <c r="G69" s="2"/>
      <c r="H69" s="2"/>
      <c r="I69" s="107" t="s">
        <v>2519</v>
      </c>
      <c r="J69" s="122" t="n">
        <f aca="false">Cibles!$C$55</f>
        <v>12.8121516164994</v>
      </c>
      <c r="K69" s="5" t="str">
        <f aca="false">IF(AND(ISNUMBER(I69),ISNUMBER(J69)),IF(I69&lt;=IF(J69&gt;Hypothèses!$J$26,MAX(0,$D$8)/(1-Hypothèses!$J$26/J69),0),"oui","non"),"")</f>
        <v/>
      </c>
      <c r="L69" s="106" t="str">
        <f aca="false">IF(AND(ISNUMBER(I69),ISNUMBER(J69)),IF(J69&gt;Hypothèses!$J$26,COUNTIF(Simulation!$BG$16:$BG$1015,"&gt;="&amp;I69*(1-Hypothèses!$J$26/J69))/1000,0),"")</f>
        <v/>
      </c>
      <c r="M69" s="123" t="n">
        <f aca="false">2027-2025</f>
        <v>2</v>
      </c>
      <c r="N69" s="124"/>
      <c r="O69" s="124"/>
      <c r="P69" s="124"/>
      <c r="Q69" s="124"/>
      <c r="R69" s="124"/>
      <c r="S69" s="80" t="str">
        <f aca="false">IF(COUNT(N69:R69)=0,"",SUMPRODUCT($N$59:$R$59,N69:R69)/SUMPRODUCT($N$59:$R$59*(N69:R69&lt;&gt;"")))</f>
        <v/>
      </c>
      <c r="T69" s="24" t="s">
        <v>3240</v>
      </c>
    </row>
    <row r="70" customFormat="false" ht="15" hidden="false" customHeight="false" outlineLevel="0" collapsed="false">
      <c r="A70" s="2"/>
      <c r="B70" s="5" t="s">
        <v>3241</v>
      </c>
      <c r="C70" s="5" t="s">
        <v>3242</v>
      </c>
      <c r="D70" s="5" t="s">
        <v>3243</v>
      </c>
      <c r="E70" s="5" t="s">
        <v>3244</v>
      </c>
      <c r="F70" s="107" t="s">
        <v>3211</v>
      </c>
      <c r="G70" s="2"/>
      <c r="H70" s="2"/>
      <c r="I70" s="107" t="s">
        <v>2519</v>
      </c>
      <c r="J70" s="122" t="n">
        <f aca="false">Cibles!$C$55</f>
        <v>12.8121516164994</v>
      </c>
      <c r="K70" s="5" t="str">
        <f aca="false">IF(AND(ISNUMBER(I70),ISNUMBER(J70)),IF(I70&lt;=IF(J70&gt;Hypothèses!$J$26,MAX(0,$D$8)/(1-Hypothèses!$J$26/J70),0),"oui","non"),"")</f>
        <v/>
      </c>
      <c r="L70" s="106" t="str">
        <f aca="false">IF(AND(ISNUMBER(I70),ISNUMBER(J70)),IF(J70&gt;Hypothèses!$J$26,COUNTIF(Simulation!$BG$16:$BG$1015,"&gt;="&amp;I70*(1-Hypothèses!$J$26/J70))/1000,0),"")</f>
        <v/>
      </c>
      <c r="M70" s="2"/>
      <c r="N70" s="124"/>
      <c r="O70" s="124"/>
      <c r="P70" s="124"/>
      <c r="Q70" s="124"/>
      <c r="R70" s="124"/>
      <c r="S70" s="80" t="str">
        <f aca="false">IF(COUNT(N70:R70)=0,"",SUMPRODUCT($N$59:$R$59,N70:R70)/SUMPRODUCT($N$59:$R$59*(N70:R70&lt;&gt;"")))</f>
        <v/>
      </c>
      <c r="T70" s="24" t="s">
        <v>3245</v>
      </c>
    </row>
    <row r="71" customFormat="false" ht="15" hidden="false" customHeight="false" outlineLevel="0" collapsed="false">
      <c r="A71" s="2"/>
      <c r="B71" s="5" t="s">
        <v>3246</v>
      </c>
      <c r="C71" s="5" t="s">
        <v>3247</v>
      </c>
      <c r="D71" s="5" t="s">
        <v>3248</v>
      </c>
      <c r="E71" s="5" t="s">
        <v>3249</v>
      </c>
      <c r="F71" s="107" t="s">
        <v>3211</v>
      </c>
      <c r="G71" s="2"/>
      <c r="H71" s="2"/>
      <c r="I71" s="107" t="s">
        <v>2519</v>
      </c>
      <c r="J71" s="122" t="n">
        <f aca="false">Cibles!$C$55</f>
        <v>12.8121516164994</v>
      </c>
      <c r="K71" s="5" t="str">
        <f aca="false">IF(AND(ISNUMBER(I71),ISNUMBER(J71)),IF(I71&lt;=IF(J71&gt;Hypothèses!$J$26,MAX(0,$D$8)/(1-Hypothèses!$J$26/J71),0),"oui","non"),"")</f>
        <v/>
      </c>
      <c r="L71" s="106" t="str">
        <f aca="false">IF(AND(ISNUMBER(I71),ISNUMBER(J71)),IF(J71&gt;Hypothèses!$J$26,COUNTIF(Simulation!$BG$16:$BG$1015,"&gt;="&amp;I71*(1-Hypothèses!$J$26/J71))/1000,0),"")</f>
        <v/>
      </c>
      <c r="M71" s="2"/>
      <c r="N71" s="124"/>
      <c r="O71" s="124"/>
      <c r="P71" s="124"/>
      <c r="Q71" s="124"/>
      <c r="R71" s="124"/>
      <c r="S71" s="80" t="str">
        <f aca="false">IF(COUNT(N71:R71)=0,"",SUMPRODUCT($N$59:$R$59,N71:R71)/SUMPRODUCT($N$59:$R$59*(N71:R71&lt;&gt;"")))</f>
        <v/>
      </c>
      <c r="T71" s="24" t="s">
        <v>3250</v>
      </c>
    </row>
    <row r="72" customFormat="false" ht="15" hidden="false" customHeight="false" outlineLevel="0" collapsed="false">
      <c r="A72" s="2"/>
      <c r="B72" s="5" t="s">
        <v>3251</v>
      </c>
      <c r="C72" s="5" t="s">
        <v>3252</v>
      </c>
      <c r="D72" s="5" t="s">
        <v>3253</v>
      </c>
      <c r="E72" s="5" t="s">
        <v>3254</v>
      </c>
      <c r="F72" s="107" t="s">
        <v>3211</v>
      </c>
      <c r="G72" s="2"/>
      <c r="H72" s="2"/>
      <c r="I72" s="107" t="s">
        <v>2519</v>
      </c>
      <c r="J72" s="122" t="n">
        <f aca="false">Cibles!$C$55</f>
        <v>12.8121516164994</v>
      </c>
      <c r="K72" s="5" t="str">
        <f aca="false">IF(AND(ISNUMBER(I72),ISNUMBER(J72)),IF(I72&lt;=IF(J72&gt;Hypothèses!$J$26,MAX(0,$D$8)/(1-Hypothèses!$J$26/J72),0),"oui","non"),"")</f>
        <v/>
      </c>
      <c r="L72" s="106" t="str">
        <f aca="false">IF(AND(ISNUMBER(I72),ISNUMBER(J72)),IF(J72&gt;Hypothèses!$J$26,COUNTIF(Simulation!$BG$16:$BG$1015,"&gt;="&amp;I72*(1-Hypothèses!$J$26/J72))/1000,0),"")</f>
        <v/>
      </c>
      <c r="M72" s="2"/>
      <c r="N72" s="124"/>
      <c r="O72" s="124"/>
      <c r="P72" s="124"/>
      <c r="Q72" s="124"/>
      <c r="R72" s="124"/>
      <c r="S72" s="80" t="str">
        <f aca="false">IF(COUNT(N72:R72)=0,"",SUMPRODUCT($N$59:$R$59,N72:R72)/SUMPRODUCT($N$59:$R$59*(N72:R72&lt;&gt;"")))</f>
        <v/>
      </c>
      <c r="T72" s="24" t="s">
        <v>3255</v>
      </c>
    </row>
    <row r="73" customFormat="false" ht="15" hidden="false" customHeight="false" outlineLevel="0" collapsed="false">
      <c r="A73" s="2"/>
      <c r="B73" s="5" t="s">
        <v>3256</v>
      </c>
      <c r="C73" s="5" t="s">
        <v>3257</v>
      </c>
      <c r="D73" s="5" t="s">
        <v>3258</v>
      </c>
      <c r="E73" s="5" t="s">
        <v>3259</v>
      </c>
      <c r="F73" s="107" t="s">
        <v>3211</v>
      </c>
      <c r="G73" s="2"/>
      <c r="H73" s="2"/>
      <c r="I73" s="107" t="s">
        <v>2519</v>
      </c>
      <c r="J73" s="122" t="n">
        <f aca="false">Cibles!$C$55</f>
        <v>12.8121516164994</v>
      </c>
      <c r="K73" s="5" t="str">
        <f aca="false">IF(AND(ISNUMBER(I73),ISNUMBER(J73)),IF(I73&lt;=IF(J73&gt;Hypothèses!$J$26,MAX(0,$D$8)/(1-Hypothèses!$J$26/J73),0),"oui","non"),"")</f>
        <v/>
      </c>
      <c r="L73" s="106" t="str">
        <f aca="false">IF(AND(ISNUMBER(I73),ISNUMBER(J73)),IF(J73&gt;Hypothèses!$J$26,COUNTIF(Simulation!$BG$16:$BG$1015,"&gt;="&amp;I73*(1-Hypothèses!$J$26/J73))/1000,0),"")</f>
        <v/>
      </c>
      <c r="M73" s="2"/>
      <c r="N73" s="124"/>
      <c r="O73" s="124"/>
      <c r="P73" s="124"/>
      <c r="Q73" s="124"/>
      <c r="R73" s="124"/>
      <c r="S73" s="80" t="str">
        <f aca="false">IF(COUNT(N73:R73)=0,"",SUMPRODUCT($N$59:$R$59,N73:R73)/SUMPRODUCT($N$59:$R$59*(N73:R73&lt;&gt;"")))</f>
        <v/>
      </c>
      <c r="T73" s="24" t="s">
        <v>3260</v>
      </c>
    </row>
    <row r="74" customFormat="false" ht="15" hidden="false" customHeight="false" outlineLevel="0" collapsed="false">
      <c r="A74" s="2"/>
      <c r="B74" s="5" t="s">
        <v>3261</v>
      </c>
      <c r="C74" s="5" t="s">
        <v>3262</v>
      </c>
      <c r="D74" s="5" t="s">
        <v>3263</v>
      </c>
      <c r="E74" s="5" t="s">
        <v>3264</v>
      </c>
      <c r="F74" s="107" t="s">
        <v>3211</v>
      </c>
      <c r="G74" s="2"/>
      <c r="H74" s="2"/>
      <c r="I74" s="107" t="s">
        <v>2519</v>
      </c>
      <c r="J74" s="122" t="n">
        <f aca="false">Cibles!$C$55</f>
        <v>12.8121516164994</v>
      </c>
      <c r="K74" s="5" t="str">
        <f aca="false">IF(AND(ISNUMBER(I74),ISNUMBER(J74)),IF(I74&lt;=IF(J74&gt;Hypothèses!$J$26,MAX(0,$D$8)/(1-Hypothèses!$J$26/J74),0),"oui","non"),"")</f>
        <v/>
      </c>
      <c r="L74" s="106" t="str">
        <f aca="false">IF(AND(ISNUMBER(I74),ISNUMBER(J74)),IF(J74&gt;Hypothèses!$J$26,COUNTIF(Simulation!$BG$16:$BG$1015,"&gt;="&amp;I74*(1-Hypothèses!$J$26/J74))/1000,0),"")</f>
        <v/>
      </c>
      <c r="M74" s="2"/>
      <c r="N74" s="124"/>
      <c r="O74" s="124"/>
      <c r="P74" s="124"/>
      <c r="Q74" s="124"/>
      <c r="R74" s="124"/>
      <c r="S74" s="80" t="str">
        <f aca="false">IF(COUNT(N74:R74)=0,"",SUMPRODUCT($N$59:$R$59,N74:R74)/SUMPRODUCT($N$59:$R$59*(N74:R74&lt;&gt;"")))</f>
        <v/>
      </c>
      <c r="T74" s="24" t="s">
        <v>3265</v>
      </c>
    </row>
    <row r="75" customFormat="false" ht="15" hidden="false" customHeight="false" outlineLevel="0" collapsed="false">
      <c r="A75" s="2"/>
      <c r="B75" s="5" t="s">
        <v>3266</v>
      </c>
      <c r="C75" s="5" t="s">
        <v>3247</v>
      </c>
      <c r="D75" s="5" t="s">
        <v>3267</v>
      </c>
      <c r="E75" s="5" t="s">
        <v>3268</v>
      </c>
      <c r="F75" s="107" t="s">
        <v>3211</v>
      </c>
      <c r="G75" s="2"/>
      <c r="H75" s="2"/>
      <c r="I75" s="107" t="s">
        <v>2519</v>
      </c>
      <c r="J75" s="122" t="n">
        <f aca="false">Cibles!$C$55</f>
        <v>12.8121516164994</v>
      </c>
      <c r="K75" s="5" t="str">
        <f aca="false">IF(AND(ISNUMBER(I75),ISNUMBER(J75)),IF(I75&lt;=IF(J75&gt;Hypothèses!$J$26,MAX(0,$D$8)/(1-Hypothèses!$J$26/J75),0),"oui","non"),"")</f>
        <v/>
      </c>
      <c r="L75" s="106" t="str">
        <f aca="false">IF(AND(ISNUMBER(I75),ISNUMBER(J75)),IF(J75&gt;Hypothèses!$J$26,COUNTIF(Simulation!$BG$16:$BG$1015,"&gt;="&amp;I75*(1-Hypothèses!$J$26/J75))/1000,0),"")</f>
        <v/>
      </c>
      <c r="M75" s="2"/>
      <c r="N75" s="124"/>
      <c r="O75" s="124"/>
      <c r="P75" s="124"/>
      <c r="Q75" s="124"/>
      <c r="R75" s="124"/>
      <c r="S75" s="80" t="str">
        <f aca="false">IF(COUNT(N75:R75)=0,"",SUMPRODUCT($N$59:$R$59,N75:R75)/SUMPRODUCT($N$59:$R$59*(N75:R75&lt;&gt;"")))</f>
        <v/>
      </c>
      <c r="T75" s="24" t="s">
        <v>3269</v>
      </c>
    </row>
    <row r="76" customFormat="false" ht="15" hidden="false" customHeight="false" outlineLevel="0" collapsed="false">
      <c r="A76" s="2"/>
      <c r="B76" s="5" t="s">
        <v>3270</v>
      </c>
      <c r="C76" s="5" t="s">
        <v>3271</v>
      </c>
      <c r="D76" s="5" t="s">
        <v>3272</v>
      </c>
      <c r="E76" s="5" t="s">
        <v>3273</v>
      </c>
      <c r="F76" s="107" t="s">
        <v>3211</v>
      </c>
      <c r="G76" s="2"/>
      <c r="H76" s="2"/>
      <c r="I76" s="107" t="s">
        <v>2519</v>
      </c>
      <c r="J76" s="122" t="n">
        <f aca="false">Cibles!$C$55</f>
        <v>12.8121516164994</v>
      </c>
      <c r="K76" s="5" t="str">
        <f aca="false">IF(AND(ISNUMBER(I76),ISNUMBER(J76)),IF(I76&lt;=IF(J76&gt;Hypothèses!$J$26,MAX(0,$D$8)/(1-Hypothèses!$J$26/J76),0),"oui","non"),"")</f>
        <v/>
      </c>
      <c r="L76" s="106" t="str">
        <f aca="false">IF(AND(ISNUMBER(I76),ISNUMBER(J76)),IF(J76&gt;Hypothèses!$J$26,COUNTIF(Simulation!$BG$16:$BG$1015,"&gt;="&amp;I76*(1-Hypothèses!$J$26/J76))/1000,0),"")</f>
        <v/>
      </c>
      <c r="M76" s="2"/>
      <c r="N76" s="124"/>
      <c r="O76" s="124"/>
      <c r="P76" s="124"/>
      <c r="Q76" s="124"/>
      <c r="R76" s="124"/>
      <c r="S76" s="80" t="str">
        <f aca="false">IF(COUNT(N76:R76)=0,"",SUMPRODUCT($N$59:$R$59,N76:R76)/SUMPRODUCT($N$59:$R$59*(N76:R76&lt;&gt;"")))</f>
        <v/>
      </c>
      <c r="T76" s="24" t="s">
        <v>3274</v>
      </c>
    </row>
    <row r="77" customFormat="false" ht="15" hidden="false" customHeight="false" outlineLevel="0" collapsed="false">
      <c r="A77" s="2"/>
      <c r="B77" s="5" t="s">
        <v>3275</v>
      </c>
      <c r="C77" s="5" t="s">
        <v>3276</v>
      </c>
      <c r="D77" s="5" t="s">
        <v>3277</v>
      </c>
      <c r="E77" s="5" t="s">
        <v>3278</v>
      </c>
      <c r="F77" s="107" t="s">
        <v>3211</v>
      </c>
      <c r="G77" s="2"/>
      <c r="H77" s="2"/>
      <c r="I77" s="107" t="s">
        <v>2519</v>
      </c>
      <c r="J77" s="122" t="n">
        <f aca="false">Cibles!$C$55</f>
        <v>12.8121516164994</v>
      </c>
      <c r="K77" s="5" t="str">
        <f aca="false">IF(AND(ISNUMBER(I77),ISNUMBER(J77)),IF(I77&lt;=IF(J77&gt;Hypothèses!$J$26,MAX(0,$D$8)/(1-Hypothèses!$J$26/J77),0),"oui","non"),"")</f>
        <v/>
      </c>
      <c r="L77" s="106" t="str">
        <f aca="false">IF(AND(ISNUMBER(I77),ISNUMBER(J77)),IF(J77&gt;Hypothèses!$J$26,COUNTIF(Simulation!$BG$16:$BG$1015,"&gt;="&amp;I77*(1-Hypothèses!$J$26/J77))/1000,0),"")</f>
        <v/>
      </c>
      <c r="M77" s="2"/>
      <c r="N77" s="124"/>
      <c r="O77" s="124"/>
      <c r="P77" s="124"/>
      <c r="Q77" s="124"/>
      <c r="R77" s="124"/>
      <c r="S77" s="80" t="str">
        <f aca="false">IF(COUNT(N77:R77)=0,"",SUMPRODUCT($N$59:$R$59,N77:R77)/SUMPRODUCT($N$59:$R$59*(N77:R77&lt;&gt;"")))</f>
        <v/>
      </c>
      <c r="T77" s="24" t="s">
        <v>3279</v>
      </c>
    </row>
    <row r="78" customFormat="false" ht="15" hidden="false" customHeight="false" outlineLevel="0" collapsed="false">
      <c r="A78" s="2"/>
      <c r="B78" s="5" t="s">
        <v>3280</v>
      </c>
      <c r="C78" s="5" t="s">
        <v>2486</v>
      </c>
      <c r="D78" s="5" t="s">
        <v>3281</v>
      </c>
      <c r="E78" s="5" t="s">
        <v>3282</v>
      </c>
      <c r="F78" s="107" t="s">
        <v>3211</v>
      </c>
      <c r="G78" s="2"/>
      <c r="H78" s="2"/>
      <c r="I78" s="107" t="s">
        <v>2519</v>
      </c>
      <c r="J78" s="122" t="n">
        <f aca="false">Cibles!$C$55</f>
        <v>12.8121516164994</v>
      </c>
      <c r="K78" s="5" t="str">
        <f aca="false">IF(AND(ISNUMBER(I78),ISNUMBER(J78)),IF(I78&lt;=IF(J78&gt;Hypothèses!$J$26,MAX(0,$D$8)/(1-Hypothèses!$J$26/J78),0),"oui","non"),"")</f>
        <v/>
      </c>
      <c r="L78" s="106" t="str">
        <f aca="false">IF(AND(ISNUMBER(I78),ISNUMBER(J78)),IF(J78&gt;Hypothèses!$J$26,COUNTIF(Simulation!$BG$16:$BG$1015,"&gt;="&amp;I78*(1-Hypothèses!$J$26/J78))/1000,0),"")</f>
        <v/>
      </c>
      <c r="M78" s="123" t="n">
        <f aca="false">2027-2021</f>
        <v>6</v>
      </c>
      <c r="N78" s="124"/>
      <c r="O78" s="124"/>
      <c r="P78" s="124"/>
      <c r="Q78" s="124"/>
      <c r="R78" s="124"/>
      <c r="S78" s="80" t="str">
        <f aca="false">IF(COUNT(N78:R78)=0,"",SUMPRODUCT($N$59:$R$59,N78:R78)/SUMPRODUCT($N$59:$R$59*(N78:R78&lt;&gt;"")))</f>
        <v/>
      </c>
      <c r="T78" s="24" t="s">
        <v>3283</v>
      </c>
    </row>
    <row r="79" customFormat="false" ht="15" hidden="false" customHeight="false" outlineLevel="0" collapsed="false">
      <c r="A79" s="2"/>
      <c r="B79" s="5" t="s">
        <v>3284</v>
      </c>
      <c r="C79" s="5" t="s">
        <v>3285</v>
      </c>
      <c r="D79" s="5" t="s">
        <v>3286</v>
      </c>
      <c r="E79" s="5" t="s">
        <v>3287</v>
      </c>
      <c r="F79" s="107" t="s">
        <v>3211</v>
      </c>
      <c r="G79" s="2"/>
      <c r="H79" s="2"/>
      <c r="I79" s="107" t="s">
        <v>2519</v>
      </c>
      <c r="J79" s="122" t="n">
        <f aca="false">Cibles!$C$55</f>
        <v>12.8121516164994</v>
      </c>
      <c r="K79" s="5" t="str">
        <f aca="false">IF(AND(ISNUMBER(I79),ISNUMBER(J79)),IF(I79&lt;=IF(J79&gt;Hypothèses!$J$26,MAX(0,$D$8)/(1-Hypothèses!$J$26/J79),0),"oui","non"),"")</f>
        <v/>
      </c>
      <c r="L79" s="106" t="str">
        <f aca="false">IF(AND(ISNUMBER(I79),ISNUMBER(J79)),IF(J79&gt;Hypothèses!$J$26,COUNTIF(Simulation!$BG$16:$BG$1015,"&gt;="&amp;I79*(1-Hypothèses!$J$26/J79))/1000,0),"")</f>
        <v/>
      </c>
      <c r="M79" s="123" t="n">
        <f aca="false">2027-2023</f>
        <v>4</v>
      </c>
      <c r="N79" s="124"/>
      <c r="O79" s="124"/>
      <c r="P79" s="124"/>
      <c r="Q79" s="124"/>
      <c r="R79" s="124"/>
      <c r="S79" s="80" t="str">
        <f aca="false">IF(COUNT(N79:R79)=0,"",SUMPRODUCT($N$59:$R$59,N79:R79)/SUMPRODUCT($N$59:$R$59*(N79:R79&lt;&gt;"")))</f>
        <v/>
      </c>
      <c r="T79" s="24" t="s">
        <v>3288</v>
      </c>
    </row>
    <row r="80" customFormat="false" ht="15" hidden="false" customHeight="false" outlineLevel="0" collapsed="false">
      <c r="A80" s="2"/>
      <c r="B80" s="5" t="s">
        <v>3289</v>
      </c>
      <c r="C80" s="5" t="s">
        <v>3290</v>
      </c>
      <c r="D80" s="5" t="s">
        <v>3291</v>
      </c>
      <c r="E80" s="5" t="s">
        <v>3292</v>
      </c>
      <c r="F80" s="107" t="s">
        <v>3211</v>
      </c>
      <c r="G80" s="2"/>
      <c r="H80" s="2"/>
      <c r="I80" s="107" t="s">
        <v>2519</v>
      </c>
      <c r="J80" s="122" t="n">
        <f aca="false">Cibles!$C$55</f>
        <v>12.8121516164994</v>
      </c>
      <c r="K80" s="5" t="str">
        <f aca="false">IF(AND(ISNUMBER(I80),ISNUMBER(J80)),IF(I80&lt;=IF(J80&gt;Hypothèses!$J$26,MAX(0,$D$8)/(1-Hypothèses!$J$26/J80),0),"oui","non"),"")</f>
        <v/>
      </c>
      <c r="L80" s="106" t="str">
        <f aca="false">IF(AND(ISNUMBER(I80),ISNUMBER(J80)),IF(J80&gt;Hypothèses!$J$26,COUNTIF(Simulation!$BG$16:$BG$1015,"&gt;="&amp;I80*(1-Hypothèses!$J$26/J80))/1000,0),"")</f>
        <v/>
      </c>
      <c r="M80" s="123" t="n">
        <f aca="false">2027-2013</f>
        <v>14</v>
      </c>
      <c r="N80" s="124"/>
      <c r="O80" s="124"/>
      <c r="P80" s="124"/>
      <c r="Q80" s="124"/>
      <c r="R80" s="124"/>
      <c r="S80" s="80" t="str">
        <f aca="false">IF(COUNT(N80:R80)=0,"",SUMPRODUCT($N$59:$R$59,N80:R80)/SUMPRODUCT($N$59:$R$59*(N80:R80&lt;&gt;"")))</f>
        <v/>
      </c>
      <c r="T80" s="24" t="s">
        <v>3293</v>
      </c>
    </row>
    <row r="81" customFormat="false" ht="15" hidden="false" customHeight="false" outlineLevel="0" collapsed="false">
      <c r="A81" s="2"/>
      <c r="B81" s="5" t="s">
        <v>3294</v>
      </c>
      <c r="C81" s="5" t="s">
        <v>3295</v>
      </c>
      <c r="D81" s="5" t="s">
        <v>3296</v>
      </c>
      <c r="E81" s="5" t="s">
        <v>3297</v>
      </c>
      <c r="F81" s="107" t="s">
        <v>3211</v>
      </c>
      <c r="G81" s="2"/>
      <c r="H81" s="2"/>
      <c r="I81" s="107" t="s">
        <v>2519</v>
      </c>
      <c r="J81" s="122" t="n">
        <f aca="false">Cibles!$C$55</f>
        <v>12.8121516164994</v>
      </c>
      <c r="K81" s="5" t="str">
        <f aca="false">IF(AND(ISNUMBER(I81),ISNUMBER(J81)),IF(I81&lt;=IF(J81&gt;Hypothèses!$J$26,MAX(0,$D$8)/(1-Hypothèses!$J$26/J81),0),"oui","non"),"")</f>
        <v/>
      </c>
      <c r="L81" s="106" t="str">
        <f aca="false">IF(AND(ISNUMBER(I81),ISNUMBER(J81)),IF(J81&gt;Hypothèses!$J$26,COUNTIF(Simulation!$BG$16:$BG$1015,"&gt;="&amp;I81*(1-Hypothèses!$J$26/J81))/1000,0),"")</f>
        <v/>
      </c>
      <c r="M81" s="2"/>
      <c r="N81" s="124"/>
      <c r="O81" s="124"/>
      <c r="P81" s="124"/>
      <c r="Q81" s="124"/>
      <c r="R81" s="124"/>
      <c r="S81" s="80" t="str">
        <f aca="false">IF(COUNT(N81:R81)=0,"",SUMPRODUCT($N$59:$R$59,N81:R81)/SUMPRODUCT($N$59:$R$59*(N81:R81&lt;&gt;"")))</f>
        <v/>
      </c>
      <c r="T81" s="24" t="s">
        <v>3298</v>
      </c>
    </row>
    <row r="82" customFormat="false" ht="15" hidden="false" customHeight="false" outlineLevel="0" collapsed="false">
      <c r="A82" s="2"/>
      <c r="B82" s="5" t="s">
        <v>3299</v>
      </c>
      <c r="C82" s="5" t="s">
        <v>2481</v>
      </c>
      <c r="D82" s="5" t="s">
        <v>3300</v>
      </c>
      <c r="E82" s="5" t="s">
        <v>3301</v>
      </c>
      <c r="F82" s="107" t="s">
        <v>3211</v>
      </c>
      <c r="G82" s="2"/>
      <c r="H82" s="2"/>
      <c r="I82" s="107" t="s">
        <v>2519</v>
      </c>
      <c r="J82" s="122" t="n">
        <f aca="false">Cibles!$C$55</f>
        <v>12.8121516164994</v>
      </c>
      <c r="K82" s="5" t="str">
        <f aca="false">IF(AND(ISNUMBER(I82),ISNUMBER(J82)),IF(I82&lt;=IF(J82&gt;Hypothèses!$J$26,MAX(0,$D$8)/(1-Hypothèses!$J$26/J82),0),"oui","non"),"")</f>
        <v/>
      </c>
      <c r="L82" s="106" t="str">
        <f aca="false">IF(AND(ISNUMBER(I82),ISNUMBER(J82)),IF(J82&gt;Hypothèses!$J$26,COUNTIF(Simulation!$BG$16:$BG$1015,"&gt;="&amp;I82*(1-Hypothèses!$J$26/J82))/1000,0),"")</f>
        <v/>
      </c>
      <c r="M82" s="123" t="n">
        <f aca="false">2027-2022</f>
        <v>5</v>
      </c>
      <c r="N82" s="124"/>
      <c r="O82" s="124"/>
      <c r="P82" s="124"/>
      <c r="Q82" s="124"/>
      <c r="R82" s="124"/>
      <c r="S82" s="80" t="str">
        <f aca="false">IF(COUNT(N82:R82)=0,"",SUMPRODUCT($N$59:$R$59,N82:R82)/SUMPRODUCT($N$59:$R$59*(N82:R82&lt;&gt;"")))</f>
        <v/>
      </c>
      <c r="T82" s="24" t="s">
        <v>3302</v>
      </c>
    </row>
    <row r="83" customFormat="false" ht="15" hidden="false" customHeight="false" outlineLevel="0" collapsed="false">
      <c r="A83" s="2"/>
      <c r="B83" s="5" t="s">
        <v>3303</v>
      </c>
      <c r="C83" s="5" t="s">
        <v>3304</v>
      </c>
      <c r="D83" s="5" t="s">
        <v>3305</v>
      </c>
      <c r="E83" s="5" t="s">
        <v>3306</v>
      </c>
      <c r="F83" s="107" t="s">
        <v>3211</v>
      </c>
      <c r="G83" s="2"/>
      <c r="H83" s="2"/>
      <c r="I83" s="107" t="s">
        <v>2519</v>
      </c>
      <c r="J83" s="122" t="n">
        <f aca="false">Cibles!$C$55</f>
        <v>12.8121516164994</v>
      </c>
      <c r="K83" s="5" t="str">
        <f aca="false">IF(AND(ISNUMBER(I83),ISNUMBER(J83)),IF(I83&lt;=IF(J83&gt;Hypothèses!$J$26,MAX(0,$D$8)/(1-Hypothèses!$J$26/J83),0),"oui","non"),"")</f>
        <v/>
      </c>
      <c r="L83" s="106" t="str">
        <f aca="false">IF(AND(ISNUMBER(I83),ISNUMBER(J83)),IF(J83&gt;Hypothèses!$J$26,COUNTIF(Simulation!$BG$16:$BG$1015,"&gt;="&amp;I83*(1-Hypothèses!$J$26/J83))/1000,0),"")</f>
        <v/>
      </c>
      <c r="M83" s="2"/>
      <c r="N83" s="124"/>
      <c r="O83" s="124"/>
      <c r="P83" s="124"/>
      <c r="Q83" s="124"/>
      <c r="R83" s="124"/>
      <c r="S83" s="80" t="str">
        <f aca="false">IF(COUNT(N83:R83)=0,"",SUMPRODUCT($N$59:$R$59,N83:R83)/SUMPRODUCT($N$59:$R$59*(N83:R83&lt;&gt;"")))</f>
        <v/>
      </c>
      <c r="T83" s="24" t="s">
        <v>3307</v>
      </c>
    </row>
    <row r="84" customFormat="false" ht="15" hidden="false" customHeight="false" outlineLevel="0" collapsed="false">
      <c r="A84" s="2"/>
      <c r="B84" s="5" t="s">
        <v>3308</v>
      </c>
      <c r="C84" s="5" t="s">
        <v>3309</v>
      </c>
      <c r="D84" s="5" t="s">
        <v>3310</v>
      </c>
      <c r="E84" s="5" t="s">
        <v>3311</v>
      </c>
      <c r="F84" s="107" t="s">
        <v>3211</v>
      </c>
      <c r="G84" s="2"/>
      <c r="H84" s="2"/>
      <c r="I84" s="107" t="s">
        <v>2519</v>
      </c>
      <c r="J84" s="122" t="n">
        <f aca="false">Cibles!$C$55</f>
        <v>12.8121516164994</v>
      </c>
      <c r="K84" s="5" t="str">
        <f aca="false">IF(AND(ISNUMBER(I84),ISNUMBER(J84)),IF(I84&lt;=IF(J84&gt;Hypothèses!$J$26,MAX(0,$D$8)/(1-Hypothèses!$J$26/J84),0),"oui","non"),"")</f>
        <v/>
      </c>
      <c r="L84" s="106" t="str">
        <f aca="false">IF(AND(ISNUMBER(I84),ISNUMBER(J84)),IF(J84&gt;Hypothèses!$J$26,COUNTIF(Simulation!$BG$16:$BG$1015,"&gt;="&amp;I84*(1-Hypothèses!$J$26/J84))/1000,0),"")</f>
        <v/>
      </c>
      <c r="M84" s="123" t="n">
        <f aca="false">2027-2020</f>
        <v>7</v>
      </c>
      <c r="N84" s="124"/>
      <c r="O84" s="124"/>
      <c r="P84" s="124"/>
      <c r="Q84" s="124"/>
      <c r="R84" s="124"/>
      <c r="S84" s="80" t="str">
        <f aca="false">IF(COUNT(N84:R84)=0,"",SUMPRODUCT($N$59:$R$59,N84:R84)/SUMPRODUCT($N$59:$R$59*(N84:R84&lt;&gt;"")))</f>
        <v/>
      </c>
      <c r="T84" s="24" t="s">
        <v>3312</v>
      </c>
    </row>
    <row r="85" customFormat="false" ht="15" hidden="false" customHeight="false" outlineLevel="0" collapsed="false">
      <c r="A85" s="2"/>
      <c r="B85" s="5" t="s">
        <v>3313</v>
      </c>
      <c r="C85" s="5" t="s">
        <v>3314</v>
      </c>
      <c r="D85" s="5" t="s">
        <v>3315</v>
      </c>
      <c r="E85" s="5"/>
      <c r="F85" s="107" t="s">
        <v>3211</v>
      </c>
      <c r="G85" s="2"/>
      <c r="H85" s="2"/>
      <c r="I85" s="107" t="s">
        <v>2519</v>
      </c>
      <c r="J85" s="122" t="n">
        <f aca="false">Cibles!$C$55</f>
        <v>12.8121516164994</v>
      </c>
      <c r="K85" s="5" t="str">
        <f aca="false">IF(AND(ISNUMBER(I85),ISNUMBER(J85)),IF(I85&lt;=IF(J85&gt;Hypothèses!$J$26,MAX(0,$D$8)/(1-Hypothèses!$J$26/J85),0),"oui","non"),"")</f>
        <v/>
      </c>
      <c r="L85" s="106" t="str">
        <f aca="false">IF(AND(ISNUMBER(I85),ISNUMBER(J85)),IF(J85&gt;Hypothèses!$J$26,COUNTIF(Simulation!$BG$16:$BG$1015,"&gt;="&amp;I85*(1-Hypothèses!$J$26/J85))/1000,0),"")</f>
        <v/>
      </c>
      <c r="M85" s="2"/>
      <c r="N85" s="124"/>
      <c r="O85" s="124"/>
      <c r="P85" s="124"/>
      <c r="Q85" s="124"/>
      <c r="R85" s="124"/>
      <c r="S85" s="80" t="str">
        <f aca="false">IF(COUNT(N85:R85)=0,"",SUMPRODUCT($N$59:$R$59,N85:R85)/SUMPRODUCT($N$59:$R$59*(N85:R85&lt;&gt;"")))</f>
        <v/>
      </c>
      <c r="T85" s="24" t="s">
        <v>3316</v>
      </c>
    </row>
    <row r="86" customFormat="false" ht="15" hidden="false" customHeight="false" outlineLevel="0" collapsed="false">
      <c r="A86" s="2"/>
      <c r="B86" s="5" t="s">
        <v>3317</v>
      </c>
      <c r="C86" s="5" t="s">
        <v>3318</v>
      </c>
      <c r="D86" s="5" t="s">
        <v>3319</v>
      </c>
      <c r="E86" s="5" t="s">
        <v>3320</v>
      </c>
      <c r="F86" s="107" t="s">
        <v>3211</v>
      </c>
      <c r="G86" s="2"/>
      <c r="H86" s="2"/>
      <c r="I86" s="107" t="s">
        <v>2519</v>
      </c>
      <c r="J86" s="122" t="n">
        <f aca="false">Cibles!$C$55</f>
        <v>12.8121516164994</v>
      </c>
      <c r="K86" s="5" t="str">
        <f aca="false">IF(AND(ISNUMBER(I86),ISNUMBER(J86)),IF(I86&lt;=IF(J86&gt;Hypothèses!$J$26,MAX(0,$D$8)/(1-Hypothèses!$J$26/J86),0),"oui","non"),"")</f>
        <v/>
      </c>
      <c r="L86" s="106" t="str">
        <f aca="false">IF(AND(ISNUMBER(I86),ISNUMBER(J86)),IF(J86&gt;Hypothèses!$J$26,COUNTIF(Simulation!$BG$16:$BG$1015,"&gt;="&amp;I86*(1-Hypothèses!$J$26/J86))/1000,0),"")</f>
        <v/>
      </c>
      <c r="M86" s="2"/>
      <c r="N86" s="124"/>
      <c r="O86" s="124"/>
      <c r="P86" s="124"/>
      <c r="Q86" s="124"/>
      <c r="R86" s="124"/>
      <c r="S86" s="80" t="str">
        <f aca="false">IF(COUNT(N86:R86)=0,"",SUMPRODUCT($N$59:$R$59,N86:R86)/SUMPRODUCT($N$59:$R$59*(N86:R86&lt;&gt;"")))</f>
        <v/>
      </c>
      <c r="T86" s="24" t="s">
        <v>3321</v>
      </c>
    </row>
    <row r="87" customFormat="false" ht="15" hidden="false" customHeight="false" outlineLevel="0" collapsed="false">
      <c r="A87" s="2"/>
      <c r="B87" s="5" t="s">
        <v>3322</v>
      </c>
      <c r="C87" s="5" t="s">
        <v>3323</v>
      </c>
      <c r="D87" s="5" t="s">
        <v>3324</v>
      </c>
      <c r="E87" s="5" t="s">
        <v>3325</v>
      </c>
      <c r="F87" s="107" t="s">
        <v>3211</v>
      </c>
      <c r="G87" s="2"/>
      <c r="H87" s="2"/>
      <c r="I87" s="107" t="s">
        <v>2519</v>
      </c>
      <c r="J87" s="122" t="n">
        <f aca="false">Cibles!$C$55</f>
        <v>12.8121516164994</v>
      </c>
      <c r="K87" s="5" t="str">
        <f aca="false">IF(AND(ISNUMBER(I87),ISNUMBER(J87)),IF(I87&lt;=IF(J87&gt;Hypothèses!$J$26,MAX(0,$D$8)/(1-Hypothèses!$J$26/J87),0),"oui","non"),"")</f>
        <v/>
      </c>
      <c r="L87" s="106" t="str">
        <f aca="false">IF(AND(ISNUMBER(I87),ISNUMBER(J87)),IF(J87&gt;Hypothèses!$J$26,COUNTIF(Simulation!$BG$16:$BG$1015,"&gt;="&amp;I87*(1-Hypothèses!$J$26/J87))/1000,0),"")</f>
        <v/>
      </c>
      <c r="M87" s="2"/>
      <c r="N87" s="124"/>
      <c r="O87" s="124"/>
      <c r="P87" s="124"/>
      <c r="Q87" s="124"/>
      <c r="R87" s="124"/>
      <c r="S87" s="80" t="str">
        <f aca="false">IF(COUNT(N87:R87)=0,"",SUMPRODUCT($N$59:$R$59,N87:R87)/SUMPRODUCT($N$59:$R$59*(N87:R87&lt;&gt;"")))</f>
        <v/>
      </c>
      <c r="T87" s="24" t="s">
        <v>3326</v>
      </c>
    </row>
    <row r="88" customFormat="false" ht="15" hidden="false" customHeight="false" outlineLevel="0" collapsed="false">
      <c r="A88" s="2"/>
      <c r="B88" s="2"/>
      <c r="C88" s="2"/>
      <c r="D88" s="2"/>
      <c r="E88" s="2"/>
      <c r="F88" s="2"/>
      <c r="G88" s="2"/>
      <c r="H88" s="2"/>
      <c r="I88" s="2"/>
      <c r="J88" s="2"/>
      <c r="K88" s="2"/>
      <c r="L88" s="2"/>
      <c r="M88" s="2"/>
      <c r="N88" s="2"/>
      <c r="O88" s="2"/>
      <c r="P88" s="2"/>
      <c r="Q88" s="2"/>
      <c r="R88" s="2"/>
      <c r="S88" s="2"/>
      <c r="T88" s="2"/>
    </row>
    <row r="89" customFormat="false" ht="15" hidden="false" customHeight="false" outlineLevel="0" collapsed="false">
      <c r="A89" s="2"/>
      <c r="B89" s="5" t="s">
        <v>3327</v>
      </c>
      <c r="C89" s="83" t="n">
        <f aca="false">COUNTA(B62:B87)</f>
        <v>26</v>
      </c>
      <c r="D89" s="24"/>
      <c r="E89" s="24" t="s">
        <v>3328</v>
      </c>
      <c r="F89" s="2"/>
      <c r="G89" s="2"/>
      <c r="H89" s="2"/>
      <c r="I89" s="2"/>
      <c r="J89" s="2"/>
      <c r="K89" s="2"/>
      <c r="L89" s="2"/>
      <c r="M89" s="2"/>
      <c r="N89" s="2"/>
      <c r="O89" s="2"/>
      <c r="P89" s="2"/>
      <c r="Q89" s="2"/>
      <c r="R89" s="2"/>
      <c r="S89" s="2"/>
      <c r="T89" s="2"/>
    </row>
    <row r="90" customFormat="false" ht="15" hidden="false" customHeight="false" outlineLevel="0" collapsed="false">
      <c r="A90" s="2"/>
      <c r="B90" s="5" t="s">
        <v>3329</v>
      </c>
      <c r="C90" s="83" t="n">
        <f aca="false">COUNT(I62:I87)</f>
        <v>4</v>
      </c>
      <c r="D90" s="24"/>
      <c r="E90" s="24"/>
      <c r="F90" s="2"/>
      <c r="G90" s="2"/>
      <c r="H90" s="2"/>
      <c r="I90" s="2"/>
      <c r="J90" s="2"/>
      <c r="K90" s="2"/>
      <c r="L90" s="2"/>
      <c r="M90" s="2"/>
      <c r="N90" s="2"/>
      <c r="O90" s="2"/>
      <c r="P90" s="2"/>
      <c r="Q90" s="2"/>
      <c r="R90" s="2"/>
      <c r="S90" s="2"/>
      <c r="T90" s="2"/>
    </row>
    <row r="91" customFormat="false" ht="15" hidden="false" customHeight="false" outlineLevel="0" collapsed="false">
      <c r="A91" s="2"/>
      <c r="B91" s="22" t="s">
        <v>3330</v>
      </c>
      <c r="C91" s="58" t="n">
        <f aca="false">COUNTIF(K62:K87,"oui")</f>
        <v>3</v>
      </c>
      <c r="D91" s="24"/>
      <c r="E91" s="24"/>
      <c r="F91" s="2"/>
      <c r="G91" s="2"/>
      <c r="H91" s="2"/>
      <c r="I91" s="2"/>
      <c r="J91" s="2"/>
      <c r="K91" s="2"/>
      <c r="L91" s="2"/>
      <c r="M91" s="2"/>
      <c r="N91" s="2"/>
      <c r="O91" s="2"/>
      <c r="P91" s="2"/>
      <c r="Q91" s="2"/>
      <c r="R91" s="2"/>
      <c r="S91" s="2"/>
      <c r="T91" s="2"/>
    </row>
    <row r="92" customFormat="false" ht="15" hidden="false" customHeight="false" outlineLevel="0" collapsed="false">
      <c r="A92" s="2"/>
      <c r="B92" s="5" t="s">
        <v>3331</v>
      </c>
      <c r="C92" s="125" t="n">
        <f aca="false">MAX(L62:L87)</f>
        <v>0.97</v>
      </c>
      <c r="D92" s="24"/>
      <c r="E92" s="24"/>
      <c r="F92" s="2"/>
      <c r="G92" s="2"/>
      <c r="H92" s="2"/>
      <c r="I92" s="2"/>
      <c r="J92" s="2"/>
      <c r="K92" s="2"/>
      <c r="L92" s="2"/>
      <c r="M92" s="2"/>
      <c r="N92" s="2"/>
      <c r="O92" s="2"/>
      <c r="P92" s="2"/>
      <c r="Q92" s="2"/>
      <c r="R92" s="2"/>
      <c r="S92" s="2"/>
      <c r="T92" s="2"/>
    </row>
    <row r="93" customFormat="false" ht="15" hidden="false" customHeight="false" outlineLevel="0" collapsed="false">
      <c r="A93" s="2"/>
      <c r="B93" s="5" t="s">
        <v>3332</v>
      </c>
      <c r="C93" s="64" t="n">
        <f aca="false">_xlfn.MAXIFS(I62:I87,K62:K87,"oui")</f>
        <v>1530.81298093008</v>
      </c>
      <c r="D93" s="24" t="s">
        <v>103</v>
      </c>
      <c r="E93" s="24"/>
      <c r="F93" s="2"/>
      <c r="G93" s="2"/>
      <c r="H93" s="2"/>
      <c r="I93" s="2"/>
      <c r="J93" s="2"/>
      <c r="K93" s="2"/>
      <c r="L93" s="2"/>
      <c r="M93" s="2"/>
      <c r="N93" s="2"/>
      <c r="O93" s="2"/>
      <c r="P93" s="2"/>
      <c r="Q93" s="2"/>
      <c r="R93" s="2"/>
      <c r="S93" s="2"/>
      <c r="T93" s="2"/>
    </row>
    <row r="94" customFormat="false" ht="30" hidden="false" customHeight="true" outlineLevel="0" collapsed="false">
      <c r="A94" s="2"/>
      <c r="B94" s="69" t="s">
        <v>3333</v>
      </c>
      <c r="C94" s="69"/>
      <c r="D94" s="69"/>
      <c r="E94" s="69"/>
      <c r="F94" s="69"/>
      <c r="G94" s="69"/>
      <c r="H94" s="69"/>
      <c r="I94" s="69"/>
      <c r="J94" s="69"/>
      <c r="K94" s="69"/>
      <c r="L94" s="69"/>
      <c r="M94" s="2"/>
      <c r="N94" s="2"/>
      <c r="O94" s="2"/>
      <c r="P94" s="2"/>
      <c r="Q94" s="2"/>
      <c r="R94" s="2"/>
      <c r="S94" s="2"/>
      <c r="T94" s="2"/>
    </row>
    <row r="95" customFormat="false" ht="15" hidden="false" customHeight="false" outlineLevel="0" collapsed="false">
      <c r="A95" s="2"/>
      <c r="B95" s="24" t="s">
        <v>3334</v>
      </c>
      <c r="C95" s="2"/>
      <c r="D95" s="2"/>
      <c r="E95" s="2"/>
      <c r="F95" s="2"/>
      <c r="G95" s="2"/>
      <c r="H95" s="2"/>
      <c r="I95" s="2"/>
      <c r="J95" s="2"/>
      <c r="K95" s="2"/>
      <c r="L95" s="2"/>
      <c r="M95" s="2"/>
      <c r="N95" s="2"/>
      <c r="O95" s="2"/>
      <c r="P95" s="2"/>
      <c r="Q95" s="2"/>
      <c r="R95" s="2"/>
      <c r="S95" s="2"/>
      <c r="T95" s="2"/>
    </row>
    <row r="96" customFormat="false" ht="15" hidden="false" customHeight="false" outlineLevel="0" collapsed="false">
      <c r="A96" s="2"/>
      <c r="B96" s="24" t="s">
        <v>3335</v>
      </c>
      <c r="C96" s="2"/>
      <c r="D96" s="2"/>
      <c r="E96" s="2"/>
      <c r="F96" s="2"/>
      <c r="G96" s="2"/>
      <c r="H96" s="2"/>
      <c r="I96" s="2"/>
      <c r="J96" s="2"/>
      <c r="K96" s="2"/>
      <c r="L96" s="2"/>
      <c r="M96" s="2"/>
      <c r="N96" s="2"/>
      <c r="O96" s="2"/>
      <c r="P96" s="2"/>
      <c r="Q96" s="2"/>
      <c r="R96" s="2"/>
      <c r="S96" s="2"/>
      <c r="T96" s="2"/>
    </row>
    <row r="97" customFormat="false" ht="15" hidden="false" customHeight="false" outlineLevel="0" collapsed="false">
      <c r="A97" s="2"/>
      <c r="B97" s="24" t="s">
        <v>3336</v>
      </c>
      <c r="C97" s="2"/>
      <c r="D97" s="2"/>
      <c r="E97" s="2"/>
      <c r="F97" s="2"/>
      <c r="G97" s="2"/>
      <c r="H97" s="2"/>
      <c r="I97" s="2"/>
      <c r="J97" s="2"/>
      <c r="K97" s="2"/>
      <c r="L97" s="2"/>
      <c r="M97" s="2"/>
      <c r="N97" s="2"/>
      <c r="O97" s="2"/>
      <c r="P97" s="2"/>
      <c r="Q97" s="2"/>
      <c r="R97" s="2"/>
      <c r="S97" s="2"/>
      <c r="T97" s="2"/>
    </row>
    <row r="98" customFormat="false" ht="15" hidden="false" customHeight="false" outlineLevel="0" collapsed="false">
      <c r="A98" s="2"/>
      <c r="B98" s="24" t="s">
        <v>3337</v>
      </c>
      <c r="C98" s="2"/>
      <c r="D98" s="2"/>
      <c r="E98" s="2"/>
      <c r="F98" s="2"/>
      <c r="G98" s="2"/>
      <c r="H98" s="2"/>
      <c r="I98" s="2"/>
      <c r="J98" s="2"/>
      <c r="K98" s="2"/>
      <c r="L98" s="2"/>
      <c r="M98" s="2"/>
      <c r="N98" s="2"/>
      <c r="O98" s="2"/>
      <c r="P98" s="2"/>
      <c r="Q98" s="2"/>
      <c r="R98" s="2"/>
      <c r="S98" s="2"/>
      <c r="T98" s="2"/>
    </row>
    <row r="99" customFormat="false" ht="15" hidden="false" customHeight="false" outlineLevel="0" collapsed="false">
      <c r="A99" s="2"/>
      <c r="B99" s="24" t="s">
        <v>3338</v>
      </c>
      <c r="C99" s="2"/>
      <c r="D99" s="2"/>
      <c r="E99" s="2"/>
      <c r="F99" s="2"/>
      <c r="G99" s="2"/>
      <c r="H99" s="2"/>
      <c r="I99" s="2"/>
      <c r="J99" s="2"/>
      <c r="K99" s="2"/>
      <c r="L99" s="2"/>
      <c r="M99" s="2"/>
      <c r="N99" s="2"/>
      <c r="O99" s="2"/>
      <c r="P99" s="2"/>
      <c r="Q99" s="2"/>
      <c r="R99" s="2"/>
      <c r="S99" s="2"/>
      <c r="T99" s="2"/>
    </row>
  </sheetData>
  <mergeCells count="4">
    <mergeCell ref="B22:F22"/>
    <mergeCell ref="B36:F36"/>
    <mergeCell ref="B51:H51"/>
    <mergeCell ref="B94:L9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3339</v>
      </c>
      <c r="B1" s="2"/>
      <c r="C1" s="2"/>
      <c r="D1" s="2"/>
      <c r="E1" s="2"/>
      <c r="F1" s="2"/>
      <c r="G1" s="2"/>
      <c r="H1" s="2"/>
      <c r="I1" s="2"/>
      <c r="J1" s="2"/>
      <c r="K1" s="2"/>
      <c r="L1" s="2"/>
      <c r="M1" s="2"/>
      <c r="N1" s="2"/>
    </row>
    <row r="2" customFormat="false" ht="15" hidden="false" customHeight="false" outlineLevel="0" collapsed="false">
      <c r="A2" s="3" t="s">
        <v>3340</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2130</v>
      </c>
      <c r="B4" s="22" t="s">
        <v>3341</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2129</v>
      </c>
      <c r="F5" s="2"/>
      <c r="G5" s="2"/>
      <c r="H5" s="2"/>
      <c r="I5" s="2"/>
      <c r="J5" s="2"/>
      <c r="K5" s="2"/>
      <c r="L5" s="2"/>
      <c r="M5" s="2"/>
      <c r="N5" s="2"/>
    </row>
    <row r="6" customFormat="false" ht="15" hidden="false" customHeight="false" outlineLevel="0" collapsed="false">
      <c r="A6" s="2"/>
      <c r="B6" s="22" t="s">
        <v>3342</v>
      </c>
      <c r="C6" s="56" t="n">
        <v>3000</v>
      </c>
      <c r="D6" s="24" t="s">
        <v>103</v>
      </c>
      <c r="E6" s="24" t="s">
        <v>3343</v>
      </c>
      <c r="F6" s="2"/>
      <c r="G6" s="2"/>
      <c r="H6" s="2"/>
      <c r="I6" s="2"/>
      <c r="J6" s="2"/>
      <c r="K6" s="2"/>
      <c r="L6" s="2"/>
      <c r="M6" s="2"/>
      <c r="N6" s="2"/>
    </row>
    <row r="7" customFormat="false" ht="15" hidden="false" customHeight="false" outlineLevel="0" collapsed="false">
      <c r="A7" s="2"/>
      <c r="B7" s="22" t="s">
        <v>3097</v>
      </c>
      <c r="C7" s="55" t="n">
        <f aca="false">Hypothèses!$J$21</f>
        <v>9.8</v>
      </c>
      <c r="D7" s="24" t="s">
        <v>133</v>
      </c>
      <c r="E7" s="24" t="s">
        <v>3344</v>
      </c>
      <c r="F7" s="2"/>
      <c r="G7" s="2"/>
      <c r="H7" s="2"/>
      <c r="I7" s="2"/>
      <c r="J7" s="2"/>
      <c r="K7" s="2"/>
      <c r="L7" s="2"/>
      <c r="M7" s="2"/>
      <c r="N7" s="2"/>
    </row>
    <row r="8" customFormat="false" ht="15" hidden="false" customHeight="false" outlineLevel="0" collapsed="false">
      <c r="A8" s="2"/>
      <c r="B8" s="5" t="s">
        <v>3345</v>
      </c>
      <c r="C8" s="64" t="n">
        <f aca="false">$C$6/$C$7</f>
        <v>306.122448979592</v>
      </c>
      <c r="D8" s="24" t="s">
        <v>103</v>
      </c>
      <c r="E8" s="24" t="s">
        <v>3346</v>
      </c>
      <c r="F8" s="2"/>
      <c r="G8" s="2"/>
      <c r="H8" s="2"/>
      <c r="I8" s="2"/>
      <c r="J8" s="2"/>
      <c r="K8" s="2"/>
      <c r="L8" s="2"/>
      <c r="M8" s="2"/>
      <c r="N8" s="2"/>
    </row>
    <row r="9" customFormat="false" ht="15" hidden="false" customHeight="false" outlineLevel="0" collapsed="false">
      <c r="A9" s="2"/>
      <c r="B9" s="5" t="s">
        <v>3347</v>
      </c>
      <c r="C9" s="61" t="n">
        <f aca="false">Trajectoire!$D$46</f>
        <v>1570.67466937297</v>
      </c>
      <c r="D9" s="24" t="s">
        <v>103</v>
      </c>
      <c r="E9" s="24" t="s">
        <v>2912</v>
      </c>
      <c r="F9" s="2"/>
      <c r="G9" s="2"/>
      <c r="H9" s="2"/>
      <c r="I9" s="2"/>
      <c r="J9" s="2"/>
      <c r="K9" s="2"/>
      <c r="L9" s="2"/>
      <c r="M9" s="2"/>
      <c r="N9" s="2"/>
    </row>
    <row r="10" customFormat="false" ht="15" hidden="false" customHeight="false" outlineLevel="0" collapsed="false">
      <c r="A10" s="2"/>
      <c r="B10" s="5" t="s">
        <v>3348</v>
      </c>
      <c r="C10" s="61" t="n">
        <f aca="false">Trajectoire!$D$57</f>
        <v>4333.42681779325</v>
      </c>
      <c r="D10" s="24" t="s">
        <v>103</v>
      </c>
      <c r="E10" s="24" t="s">
        <v>2912</v>
      </c>
      <c r="F10" s="2"/>
      <c r="G10" s="2"/>
      <c r="H10" s="2"/>
      <c r="I10" s="2"/>
      <c r="J10" s="2"/>
      <c r="K10" s="2"/>
      <c r="L10" s="2"/>
      <c r="M10" s="2"/>
      <c r="N10" s="2"/>
    </row>
    <row r="11" customFormat="false" ht="15" hidden="false" customHeight="false" outlineLevel="0" collapsed="false">
      <c r="A11" s="2"/>
      <c r="B11" s="22" t="s">
        <v>3349</v>
      </c>
      <c r="C11" s="45" t="n">
        <f aca="false">Financement!$C$9-$C$6+Hypothèses!$J$26*Financement!$C$8</f>
        <v>-510.957983688259</v>
      </c>
      <c r="D11" s="24" t="s">
        <v>103</v>
      </c>
      <c r="E11" s="24" t="s">
        <v>3350</v>
      </c>
      <c r="F11" s="2"/>
      <c r="G11" s="2"/>
      <c r="H11" s="2"/>
      <c r="I11" s="2"/>
      <c r="J11" s="2"/>
      <c r="K11" s="2"/>
      <c r="L11" s="2"/>
      <c r="M11" s="2"/>
      <c r="N11" s="2"/>
    </row>
    <row r="12" customFormat="false" ht="15" hidden="false" customHeight="false" outlineLevel="0" collapsed="false">
      <c r="A12" s="2"/>
      <c r="B12" s="22" t="s">
        <v>3351</v>
      </c>
      <c r="C12" s="45" t="n">
        <f aca="false">Financement!$C$10-$C$6+Hypothèses!$J$16*Financement!$C$8/(Entrées!$C$151/100)</f>
        <v>2578.18003823036</v>
      </c>
      <c r="D12" s="24" t="s">
        <v>103</v>
      </c>
      <c r="E12" s="24" t="s">
        <v>3352</v>
      </c>
      <c r="F12" s="2"/>
      <c r="G12" s="2"/>
      <c r="H12" s="2"/>
      <c r="I12" s="2"/>
      <c r="J12" s="2"/>
      <c r="K12" s="2"/>
      <c r="L12" s="2"/>
      <c r="M12" s="2"/>
      <c r="N12" s="2"/>
    </row>
    <row r="13" customFormat="false" ht="15" hidden="false" customHeight="false" outlineLevel="0" collapsed="false">
      <c r="A13" s="2"/>
      <c r="B13" s="22" t="s">
        <v>3353</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3354</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2143</v>
      </c>
      <c r="B16" s="22" t="s">
        <v>3355</v>
      </c>
      <c r="C16" s="2"/>
      <c r="D16" s="2"/>
      <c r="E16" s="2"/>
      <c r="F16" s="2"/>
      <c r="G16" s="2"/>
      <c r="H16" s="2"/>
      <c r="I16" s="2"/>
      <c r="J16" s="2"/>
      <c r="K16" s="2"/>
      <c r="L16" s="2"/>
      <c r="M16" s="2"/>
      <c r="N16" s="2"/>
    </row>
    <row r="17" customFormat="false" ht="15" hidden="false" customHeight="false" outlineLevel="0" collapsed="false">
      <c r="A17" s="21"/>
      <c r="B17" s="21" t="s">
        <v>3356</v>
      </c>
      <c r="C17" s="21" t="s">
        <v>3357</v>
      </c>
      <c r="D17" s="21" t="s">
        <v>3358</v>
      </c>
      <c r="E17" s="21" t="s">
        <v>3359</v>
      </c>
      <c r="F17" s="21" t="s">
        <v>3360</v>
      </c>
      <c r="G17" s="21" t="s">
        <v>3361</v>
      </c>
      <c r="H17" s="21" t="s">
        <v>3362</v>
      </c>
      <c r="I17" s="2"/>
      <c r="J17" s="2"/>
      <c r="K17" s="2"/>
      <c r="L17" s="2"/>
      <c r="M17" s="2"/>
      <c r="N17" s="2"/>
    </row>
    <row r="18" customFormat="false" ht="30" hidden="false" customHeight="true" outlineLevel="0" collapsed="false">
      <c r="A18" s="24" t="s">
        <v>3363</v>
      </c>
      <c r="B18" s="38" t="s">
        <v>3364</v>
      </c>
      <c r="C18" s="126" t="n">
        <f aca="false">1</f>
        <v>1</v>
      </c>
      <c r="D18" s="126" t="n">
        <f aca="false">1-Hypothèses!$J$27</f>
        <v>0.5</v>
      </c>
      <c r="E18" s="45" t="n">
        <f aca="false">IF(OR(C18&lt;=0,D18&lt;=0),"sans effet",MAX(Financement!$C$13/C18,Financement!$C$14/D18))</f>
        <v>510.957983688259</v>
      </c>
      <c r="F18" s="64" t="n">
        <f aca="false">E18*Entrées!$C$579/100</f>
        <v>22.0836040550066</v>
      </c>
      <c r="G18" s="24" t="s">
        <v>3365</v>
      </c>
      <c r="H18" s="127" t="s">
        <v>3366</v>
      </c>
      <c r="I18" s="2"/>
      <c r="J18" s="2"/>
      <c r="K18" s="2"/>
      <c r="L18" s="2"/>
      <c r="M18" s="2"/>
      <c r="N18" s="2"/>
    </row>
    <row r="19" customFormat="false" ht="30" hidden="false" customHeight="true" outlineLevel="0" collapsed="false">
      <c r="A19" s="24" t="s">
        <v>3367</v>
      </c>
      <c r="B19" s="38" t="s">
        <v>3368</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3369</v>
      </c>
      <c r="H19" s="127" t="s">
        <v>3370</v>
      </c>
      <c r="I19" s="2"/>
      <c r="J19" s="2"/>
      <c r="K19" s="2"/>
      <c r="L19" s="2"/>
      <c r="M19" s="2"/>
      <c r="N19" s="2"/>
    </row>
    <row r="20" customFormat="false" ht="30" hidden="false" customHeight="true" outlineLevel="0" collapsed="false">
      <c r="A20" s="24" t="s">
        <v>3371</v>
      </c>
      <c r="B20" s="38" t="s">
        <v>3372</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3373</v>
      </c>
      <c r="H20" s="127" t="s">
        <v>3374</v>
      </c>
      <c r="I20" s="2"/>
      <c r="J20" s="2"/>
      <c r="K20" s="2"/>
      <c r="L20" s="2"/>
      <c r="M20" s="2"/>
      <c r="N20" s="2"/>
    </row>
    <row r="21" customFormat="false" ht="30" hidden="false" customHeight="true" outlineLevel="0" collapsed="false">
      <c r="A21" s="24" t="s">
        <v>3375</v>
      </c>
      <c r="B21" s="38" t="s">
        <v>3376</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3373</v>
      </c>
      <c r="H21" s="127" t="s">
        <v>3377</v>
      </c>
      <c r="I21" s="2"/>
      <c r="J21" s="2"/>
      <c r="K21" s="2"/>
      <c r="L21" s="2"/>
      <c r="M21" s="2"/>
      <c r="N21" s="2"/>
    </row>
    <row r="22" customFormat="false" ht="30" hidden="false" customHeight="true" outlineLevel="0" collapsed="false">
      <c r="A22" s="24" t="s">
        <v>3378</v>
      </c>
      <c r="B22" s="38" t="s">
        <v>3379</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3380</v>
      </c>
      <c r="H22" s="127" t="s">
        <v>3381</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2308</v>
      </c>
      <c r="B24" s="22" t="s">
        <v>3382</v>
      </c>
      <c r="C24" s="2"/>
      <c r="D24" s="2"/>
      <c r="E24" s="2"/>
      <c r="F24" s="2"/>
      <c r="G24" s="2"/>
      <c r="H24" s="2"/>
      <c r="I24" s="2"/>
      <c r="J24" s="2"/>
      <c r="K24" s="2"/>
      <c r="L24" s="2"/>
      <c r="M24" s="2"/>
      <c r="N24" s="2"/>
    </row>
    <row r="25" customFormat="false" ht="23.85" hidden="false" customHeight="false" outlineLevel="0" collapsed="false">
      <c r="A25" s="21"/>
      <c r="B25" s="21" t="s">
        <v>3356</v>
      </c>
      <c r="C25" s="21" t="s">
        <v>3383</v>
      </c>
      <c r="D25" s="21" t="s">
        <v>3384</v>
      </c>
      <c r="E25" s="21" t="s">
        <v>3385</v>
      </c>
      <c r="F25" s="21" t="s">
        <v>3360</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3386</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3387</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3388</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2457</v>
      </c>
      <c r="B37" s="22" t="s">
        <v>3389</v>
      </c>
      <c r="C37" s="2"/>
      <c r="D37" s="2"/>
      <c r="E37" s="2"/>
      <c r="F37" s="2"/>
      <c r="G37" s="2"/>
      <c r="H37" s="2"/>
      <c r="I37" s="2"/>
      <c r="J37" s="2"/>
      <c r="K37" s="2"/>
      <c r="L37" s="2"/>
      <c r="M37" s="2"/>
      <c r="N37" s="2"/>
    </row>
    <row r="38" customFormat="false" ht="30" hidden="false" customHeight="true" outlineLevel="0" collapsed="false">
      <c r="A38" s="2"/>
      <c r="B38" s="69" t="s">
        <v>3390</v>
      </c>
      <c r="C38" s="69"/>
      <c r="D38" s="69"/>
      <c r="E38" s="69"/>
      <c r="F38" s="69"/>
      <c r="G38" s="69"/>
      <c r="H38" s="69"/>
      <c r="I38" s="2"/>
      <c r="J38" s="2"/>
      <c r="K38" s="2"/>
      <c r="L38" s="2"/>
      <c r="M38" s="2"/>
      <c r="N38" s="2"/>
    </row>
    <row r="39" customFormat="false" ht="15" hidden="false" customHeight="false" outlineLevel="0" collapsed="false">
      <c r="A39" s="2"/>
      <c r="B39" s="5" t="s">
        <v>3391</v>
      </c>
      <c r="C39" s="128" t="n">
        <v>3.1</v>
      </c>
      <c r="D39" s="2"/>
      <c r="E39" s="2"/>
      <c r="F39" s="2"/>
      <c r="G39" s="2"/>
      <c r="H39" s="2"/>
      <c r="I39" s="2"/>
      <c r="J39" s="2"/>
      <c r="K39" s="2"/>
      <c r="L39" s="2"/>
      <c r="M39" s="2"/>
      <c r="N39" s="2"/>
    </row>
    <row r="40" customFormat="false" ht="23.85" hidden="false" customHeight="false" outlineLevel="0" collapsed="false">
      <c r="A40" s="21"/>
      <c r="B40" s="21" t="s">
        <v>2043</v>
      </c>
      <c r="C40" s="21" t="s">
        <v>2044</v>
      </c>
      <c r="D40" s="21" t="s">
        <v>3392</v>
      </c>
      <c r="E40" s="21" t="s">
        <v>3393</v>
      </c>
      <c r="F40" s="21" t="s">
        <v>3394</v>
      </c>
      <c r="G40" s="21" t="s">
        <v>3395</v>
      </c>
      <c r="H40" s="21"/>
      <c r="I40" s="21" t="s">
        <v>2048</v>
      </c>
      <c r="J40" s="2"/>
      <c r="K40" s="129" t="s">
        <v>3396</v>
      </c>
      <c r="L40" s="129" t="s">
        <v>3397</v>
      </c>
      <c r="M40" s="129" t="s">
        <v>3398</v>
      </c>
      <c r="N40" s="129" t="s">
        <v>3399</v>
      </c>
    </row>
    <row r="41" customFormat="false" ht="15" hidden="false" customHeight="false" outlineLevel="0" collapsed="false">
      <c r="A41" s="24" t="s">
        <v>2050</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2054</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2058</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2061</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2064</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2068</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2072</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2075</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2078</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2081</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3400</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2084</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2088</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2102</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3400</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3401</v>
      </c>
      <c r="C54" s="69"/>
      <c r="D54" s="69"/>
      <c r="E54" s="69"/>
      <c r="F54" s="69"/>
      <c r="G54" s="69"/>
      <c r="H54" s="69"/>
      <c r="I54" s="2"/>
      <c r="J54" s="2"/>
      <c r="K54" s="2"/>
      <c r="L54" s="2"/>
      <c r="M54" s="2"/>
      <c r="N54" s="2"/>
    </row>
    <row r="55" customFormat="false" ht="15" hidden="false" customHeight="false" outlineLevel="0" collapsed="false">
      <c r="A55" s="2"/>
      <c r="B55" s="22" t="s">
        <v>3402</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3403</v>
      </c>
      <c r="B1" s="2"/>
      <c r="C1" s="2"/>
      <c r="D1" s="2"/>
      <c r="E1" s="2"/>
      <c r="F1" s="2"/>
      <c r="G1" s="2"/>
    </row>
    <row r="2" customFormat="false" ht="15" hidden="false" customHeight="false" outlineLevel="0" collapsed="false">
      <c r="A2" s="3" t="s">
        <v>3404</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3405</v>
      </c>
      <c r="B4" s="21" t="s">
        <v>3406</v>
      </c>
      <c r="C4" s="21" t="s">
        <v>3407</v>
      </c>
      <c r="D4" s="21" t="s">
        <v>3408</v>
      </c>
      <c r="E4" s="21" t="s">
        <v>3409</v>
      </c>
      <c r="F4" s="21" t="s">
        <v>3410</v>
      </c>
      <c r="G4" s="21" t="s">
        <v>3411</v>
      </c>
    </row>
    <row r="5" customFormat="false" ht="27.75" hidden="false" customHeight="true" outlineLevel="0" collapsed="false">
      <c r="A5" s="25" t="n">
        <v>1</v>
      </c>
      <c r="B5" s="38" t="s">
        <v>3412</v>
      </c>
      <c r="C5" s="63" t="n">
        <f aca="false">Levier!$C$8</f>
        <v>2.62507365939894</v>
      </c>
      <c r="D5" s="63" t="n">
        <f aca="false">Levier!$C$9</f>
        <v>2.63</v>
      </c>
      <c r="E5" s="132" t="n">
        <v>0.006</v>
      </c>
      <c r="F5" s="111" t="str">
        <f aca="false">IF(ABS(C5-D5)&lt;=E5,"OK","ÉCART")</f>
        <v>OK</v>
      </c>
      <c r="G5" s="24" t="s">
        <v>3413</v>
      </c>
    </row>
    <row r="6" customFormat="false" ht="27.75" hidden="false" customHeight="true" outlineLevel="0" collapsed="false">
      <c r="A6" s="25" t="n">
        <v>2</v>
      </c>
      <c r="B6" s="38" t="s">
        <v>3414</v>
      </c>
      <c r="C6" s="63" t="n">
        <f aca="false">Levier!$C$12</f>
        <v>2.78822695035461</v>
      </c>
      <c r="D6" s="63" t="n">
        <f aca="false">Levier!$C$13</f>
        <v>2.79</v>
      </c>
      <c r="E6" s="132" t="n">
        <v>0.006</v>
      </c>
      <c r="F6" s="111" t="str">
        <f aca="false">IF(ABS(C6-D6)&lt;=E6,"OK","ÉCART")</f>
        <v>OK</v>
      </c>
      <c r="G6" s="24" t="s">
        <v>3413</v>
      </c>
    </row>
    <row r="7" customFormat="false" ht="27.75" hidden="false" customHeight="true" outlineLevel="0" collapsed="false">
      <c r="A7" s="25" t="n">
        <v>3</v>
      </c>
      <c r="B7" s="38" t="s">
        <v>3415</v>
      </c>
      <c r="C7" s="61" t="n">
        <f aca="false">'Pont de dette'!$C$16</f>
        <v>24547</v>
      </c>
      <c r="D7" s="61" t="n">
        <f aca="false">'Pont de dette'!$C$17</f>
        <v>24548</v>
      </c>
      <c r="E7" s="82" t="n">
        <v>2</v>
      </c>
      <c r="F7" s="111" t="str">
        <f aca="false">IF(ABS(C7-D7)&lt;=E7,"OK","ÉCART")</f>
        <v>OK</v>
      </c>
      <c r="G7" s="24" t="s">
        <v>3413</v>
      </c>
    </row>
    <row r="8" customFormat="false" ht="27.75" hidden="false" customHeight="true" outlineLevel="0" collapsed="false">
      <c r="A8" s="25" t="n">
        <v>4</v>
      </c>
      <c r="B8" s="38" t="s">
        <v>3416</v>
      </c>
      <c r="C8" s="78" t="n">
        <f aca="false">Cessions!$C$9</f>
        <v>3.1</v>
      </c>
      <c r="D8" s="78" t="n">
        <f aca="false">Cessions!$C$10</f>
        <v>3.1</v>
      </c>
      <c r="E8" s="133" t="n">
        <v>0.001</v>
      </c>
      <c r="F8" s="111" t="str">
        <f aca="false">IF(ABS(C8-D8)&lt;=E8,"OK","ÉCART")</f>
        <v>OK</v>
      </c>
      <c r="G8" s="24" t="s">
        <v>3413</v>
      </c>
    </row>
    <row r="9" customFormat="false" ht="27.75" hidden="false" customHeight="true" outlineLevel="0" collapsed="false">
      <c r="A9" s="25" t="n">
        <v>5</v>
      </c>
      <c r="B9" s="38" t="s">
        <v>3417</v>
      </c>
      <c r="C9" s="61" t="n">
        <f aca="false">ESG!$C$14</f>
        <v>1214</v>
      </c>
      <c r="D9" s="61" t="n">
        <f aca="false">Entrées!$C$105</f>
        <v>1214</v>
      </c>
      <c r="E9" s="82" t="n">
        <v>0.5</v>
      </c>
      <c r="F9" s="111" t="str">
        <f aca="false">IF(ABS(C9-D9)&lt;=E9,"OK","ÉCART")</f>
        <v>OK</v>
      </c>
      <c r="G9" s="24" t="s">
        <v>3413</v>
      </c>
    </row>
    <row r="10" customFormat="false" ht="27.75" hidden="false" customHeight="true" outlineLevel="0" collapsed="false">
      <c r="A10" s="25" t="n">
        <v>6</v>
      </c>
      <c r="B10" s="38" t="s">
        <v>3418</v>
      </c>
      <c r="C10" s="64" t="n">
        <f aca="false">Entrées!$C$32*Entrées!$C$91/1000000</f>
        <v>1097.5460085</v>
      </c>
      <c r="D10" s="61" t="n">
        <f aca="false">Entrées!$C$79</f>
        <v>1099</v>
      </c>
      <c r="E10" s="82" t="n">
        <v>15</v>
      </c>
      <c r="F10" s="111" t="str">
        <f aca="false">IF(ABS(C10-D10)&lt;=E10,"OK","ÉCART")</f>
        <v>OK</v>
      </c>
      <c r="G10" s="24" t="s">
        <v>3413</v>
      </c>
    </row>
    <row r="11" customFormat="false" ht="27.75" hidden="false" customHeight="true" outlineLevel="0" collapsed="false">
      <c r="A11" s="25" t="n">
        <v>7</v>
      </c>
      <c r="B11" s="38" t="s">
        <v>3419</v>
      </c>
      <c r="C11" s="63" t="n">
        <f aca="false">Trajectoire!$D$33</f>
        <v>3.01771731406222</v>
      </c>
      <c r="D11" s="132" t="n">
        <v>3.075</v>
      </c>
      <c r="E11" s="132" t="n">
        <v>0.075</v>
      </c>
      <c r="F11" s="111" t="str">
        <f aca="false">IF(ABS(C11-D11)&lt;=E11,"OK","ÉCART")</f>
        <v>OK</v>
      </c>
      <c r="G11" s="24" t="s">
        <v>3413</v>
      </c>
    </row>
    <row r="12" customFormat="false" ht="27.75" hidden="false" customHeight="true" outlineLevel="0" collapsed="false">
      <c r="A12" s="25" t="n">
        <v>8</v>
      </c>
      <c r="B12" s="38" t="s">
        <v>3420</v>
      </c>
      <c r="C12" s="95" t="n">
        <f aca="false">Hypothèses!$J$19</f>
        <v>1.17584579071597</v>
      </c>
      <c r="D12" s="134" t="n">
        <v>1.175</v>
      </c>
      <c r="E12" s="134" t="n">
        <v>0.125</v>
      </c>
      <c r="F12" s="111" t="str">
        <f aca="false">IF(ABS(C12-D12)&lt;=E12,"OK","ÉCART")</f>
        <v>OK</v>
      </c>
      <c r="G12" s="24" t="s">
        <v>3413</v>
      </c>
    </row>
    <row r="13" customFormat="false" ht="27.75" hidden="false" customHeight="true" outlineLevel="0" collapsed="false">
      <c r="A13" s="25" t="n">
        <v>9</v>
      </c>
      <c r="B13" s="38" t="s">
        <v>3421</v>
      </c>
      <c r="C13" s="78" t="n">
        <f aca="false">Cessions!$C$16</f>
        <v>0.5</v>
      </c>
      <c r="D13" s="78" t="n">
        <f aca="false">Cessions!$C$17</f>
        <v>0.5</v>
      </c>
      <c r="E13" s="133" t="n">
        <v>0.001</v>
      </c>
      <c r="F13" s="111" t="str">
        <f aca="false">IF(ABS(C13-D13)&lt;=E13,"OK","ÉCART")</f>
        <v>OK</v>
      </c>
      <c r="G13" s="24" t="s">
        <v>3413</v>
      </c>
    </row>
    <row r="14" customFormat="false" ht="27.75" hidden="false" customHeight="true" outlineLevel="0" collapsed="false">
      <c r="A14" s="25" t="n">
        <v>10</v>
      </c>
      <c r="B14" s="38" t="s">
        <v>3422</v>
      </c>
      <c r="C14" s="64" t="n">
        <f aca="false">-Entrées!$C$124*1000</f>
        <v>400</v>
      </c>
      <c r="D14" s="61" t="n">
        <f aca="false">Entrées!$C$126</f>
        <v>397</v>
      </c>
      <c r="E14" s="82" t="n">
        <v>60</v>
      </c>
      <c r="F14" s="111" t="str">
        <f aca="false">IF(ABS(C14-D14)&lt;=E14,"OK","ÉCART")</f>
        <v>OK</v>
      </c>
      <c r="G14" s="24" t="s">
        <v>3413</v>
      </c>
    </row>
    <row r="15" customFormat="false" ht="27.75" hidden="false" customHeight="true" outlineLevel="0" collapsed="false">
      <c r="A15" s="25" t="n">
        <v>11</v>
      </c>
      <c r="B15" s="38" t="s">
        <v>3423</v>
      </c>
      <c r="C15" s="61" t="n">
        <f aca="false">Levier!$C$30</f>
        <v>24000</v>
      </c>
      <c r="D15" s="82" t="n">
        <v>24000</v>
      </c>
      <c r="E15" s="82" t="n">
        <v>1</v>
      </c>
      <c r="F15" s="111" t="str">
        <f aca="false">IF(ABS(C15-D15)&lt;=E15,"OK","ÉCART")</f>
        <v>OK</v>
      </c>
      <c r="G15" s="24" t="s">
        <v>3413</v>
      </c>
    </row>
    <row r="16" customFormat="false" ht="27.75" hidden="false" customHeight="true" outlineLevel="0" collapsed="false">
      <c r="A16" s="25" t="n">
        <v>12</v>
      </c>
      <c r="B16" s="38" t="s">
        <v>3424</v>
      </c>
      <c r="C16" s="72" t="n">
        <f aca="false">Trajectoire!$D$52</f>
        <v>0.193486847370753</v>
      </c>
      <c r="D16" s="72" t="n">
        <f aca="false">Entrées!$C$232/100</f>
        <v>0.185</v>
      </c>
      <c r="E16" s="135" t="n">
        <v>0.02</v>
      </c>
      <c r="F16" s="111" t="str">
        <f aca="false">IF(ABS(C16-D16)&lt;=E16,"OK","ÉCART")</f>
        <v>OK</v>
      </c>
      <c r="G16" s="24" t="s">
        <v>3413</v>
      </c>
    </row>
    <row r="17" customFormat="false" ht="27.75" hidden="false" customHeight="true" outlineLevel="0" collapsed="false">
      <c r="A17" s="25" t="n">
        <v>13</v>
      </c>
      <c r="B17" s="38" t="s">
        <v>3425</v>
      </c>
      <c r="C17" s="72" t="n">
        <f aca="false">Trajectoire!$D$56</f>
        <v>0.207738254508974</v>
      </c>
      <c r="D17" s="72" t="n">
        <f aca="false">Entrées!$C$233/100</f>
        <v>0.195</v>
      </c>
      <c r="E17" s="135" t="n">
        <v>0.025</v>
      </c>
      <c r="F17" s="111" t="str">
        <f aca="false">IF(ABS(C17-D17)&lt;=E17,"OK","ÉCART")</f>
        <v>OK</v>
      </c>
      <c r="G17" s="24" t="s">
        <v>3413</v>
      </c>
    </row>
    <row r="18" customFormat="false" ht="27.75" hidden="false" customHeight="true" outlineLevel="0" collapsed="false">
      <c r="A18" s="25" t="n">
        <v>14</v>
      </c>
      <c r="B18" s="38" t="s">
        <v>3426</v>
      </c>
      <c r="C18" s="61" t="n">
        <f aca="false">Levier!$C$51</f>
        <v>29518</v>
      </c>
      <c r="D18" s="61" t="n">
        <f aca="false">Entrées!$C$259</f>
        <v>29518</v>
      </c>
      <c r="E18" s="82" t="n">
        <v>1</v>
      </c>
      <c r="F18" s="111" t="str">
        <f aca="false">IF(ABS(C18-D18)&lt;=E18,"OK","ÉCART")</f>
        <v>OK</v>
      </c>
      <c r="G18" s="24" t="s">
        <v>3413</v>
      </c>
    </row>
    <row r="19" customFormat="false" ht="27.75" hidden="false" customHeight="true" outlineLevel="0" collapsed="false">
      <c r="A19" s="25" t="n">
        <v>15</v>
      </c>
      <c r="B19" s="38" t="s">
        <v>3427</v>
      </c>
      <c r="C19" s="61" t="n">
        <f aca="false">Levier!$C$56</f>
        <v>34879</v>
      </c>
      <c r="D19" s="61" t="n">
        <f aca="false">Levier!$C$57</f>
        <v>34879</v>
      </c>
      <c r="E19" s="82" t="n">
        <v>1</v>
      </c>
      <c r="F19" s="111" t="str">
        <f aca="false">IF(ABS(C19-D19)&lt;=E19,"OK","ÉCART")</f>
        <v>OK</v>
      </c>
      <c r="G19" s="24" t="s">
        <v>3413</v>
      </c>
    </row>
    <row r="20" customFormat="false" ht="27.75" hidden="false" customHeight="true" outlineLevel="0" collapsed="false">
      <c r="A20" s="25" t="n">
        <v>16</v>
      </c>
      <c r="B20" s="38" t="s">
        <v>3428</v>
      </c>
      <c r="C20" s="61" t="n">
        <f aca="false">Levier!$C$59</f>
        <v>25404</v>
      </c>
      <c r="D20" s="61" t="n">
        <f aca="false">Levier!$C$60</f>
        <v>25404</v>
      </c>
      <c r="E20" s="82" t="n">
        <v>1</v>
      </c>
      <c r="F20" s="111" t="str">
        <f aca="false">IF(ABS(C20-D20)&lt;=E20,"OK","ÉCART")</f>
        <v>OK</v>
      </c>
      <c r="G20" s="24" t="s">
        <v>3413</v>
      </c>
    </row>
    <row r="21" customFormat="false" ht="27.75" hidden="false" customHeight="true" outlineLevel="0" collapsed="false">
      <c r="A21" s="25" t="n">
        <v>17</v>
      </c>
      <c r="B21" s="38" t="s">
        <v>3429</v>
      </c>
      <c r="C21" s="61" t="n">
        <f aca="false">Levier!$C$44</f>
        <v>5156.2</v>
      </c>
      <c r="D21" s="61" t="n">
        <f aca="false">Levier!$C$67</f>
        <v>5160</v>
      </c>
      <c r="E21" s="82" t="n">
        <v>60</v>
      </c>
      <c r="F21" s="111" t="str">
        <f aca="false">IF(ABS(C21-D21)&lt;=E21,"OK","ÉCART")</f>
        <v>OK</v>
      </c>
      <c r="G21" s="24" t="s">
        <v>3413</v>
      </c>
    </row>
    <row r="22" customFormat="false" ht="27.75" hidden="false" customHeight="true" outlineLevel="0" collapsed="false">
      <c r="A22" s="25" t="n">
        <v>18</v>
      </c>
      <c r="B22" s="38" t="s">
        <v>3430</v>
      </c>
      <c r="C22" s="61" t="n">
        <f aca="false">Levier!$C$61</f>
        <v>19821</v>
      </c>
      <c r="D22" s="61" t="n">
        <f aca="false">Entrées!$C$13</f>
        <v>19657</v>
      </c>
      <c r="E22" s="53" t="s">
        <v>2057</v>
      </c>
      <c r="F22" s="111" t="s">
        <v>3431</v>
      </c>
      <c r="G22" s="24" t="s">
        <v>3432</v>
      </c>
    </row>
    <row r="23" customFormat="false" ht="27.75" hidden="false" customHeight="true" outlineLevel="0" collapsed="false">
      <c r="A23" s="25" t="n">
        <v>19</v>
      </c>
      <c r="B23" s="38" t="s">
        <v>3433</v>
      </c>
      <c r="C23" s="72" t="n">
        <f aca="false">Segments!$G$16</f>
        <v>0.126449852171935</v>
      </c>
      <c r="D23" s="72" t="n">
        <f aca="false">Segments!$G$19</f>
        <v>0.126</v>
      </c>
      <c r="E23" s="135" t="n">
        <v>0.002</v>
      </c>
      <c r="F23" s="111" t="str">
        <f aca="false">IF(ABS(C23-D23)&lt;=E23,"OK","ÉCART")</f>
        <v>OK</v>
      </c>
      <c r="G23" s="24" t="s">
        <v>3413</v>
      </c>
    </row>
    <row r="24" customFormat="false" ht="27.75" hidden="false" customHeight="true" outlineLevel="0" collapsed="false">
      <c r="A24" s="25" t="n">
        <v>20</v>
      </c>
      <c r="B24" s="38" t="s">
        <v>3434</v>
      </c>
      <c r="C24" s="72" t="n">
        <f aca="false">Entrées!$C$213/1000/Entrées!$C$212</f>
        <v>0.193993997479605</v>
      </c>
      <c r="D24" s="72" t="n">
        <f aca="false">Booster!$G$39</f>
        <v>0.194</v>
      </c>
      <c r="E24" s="135" t="n">
        <v>0.002</v>
      </c>
      <c r="F24" s="111" t="str">
        <f aca="false">IF(ABS(C24-D24)&lt;=E24,"OK","ÉCART")</f>
        <v>OK</v>
      </c>
      <c r="G24" s="24" t="s">
        <v>3413</v>
      </c>
    </row>
    <row r="25" customFormat="false" ht="27.75" hidden="false" customHeight="true" outlineLevel="0" collapsed="false">
      <c r="A25" s="25" t="n">
        <v>21</v>
      </c>
      <c r="B25" s="38" t="s">
        <v>3435</v>
      </c>
      <c r="C25" s="61" t="n">
        <f aca="false">Segments!$F$12</f>
        <v>139</v>
      </c>
      <c r="D25" s="82" t="n">
        <v>139</v>
      </c>
      <c r="E25" s="82" t="n">
        <v>60</v>
      </c>
      <c r="F25" s="111" t="str">
        <f aca="false">IF(ABS(C25-D25)&lt;=E25,"OK","ÉCART")</f>
        <v>OK</v>
      </c>
      <c r="G25" s="24" t="s">
        <v>3413</v>
      </c>
    </row>
    <row r="26" customFormat="false" ht="27.75" hidden="false" customHeight="true" outlineLevel="0" collapsed="false">
      <c r="A26" s="25" t="n">
        <v>22</v>
      </c>
      <c r="B26" s="38" t="s">
        <v>3436</v>
      </c>
      <c r="C26" s="78" t="n">
        <f aca="false">Segments!$F$38</f>
        <v>17.485</v>
      </c>
      <c r="D26" s="133" t="n">
        <v>18</v>
      </c>
      <c r="E26" s="53" t="s">
        <v>2057</v>
      </c>
      <c r="F26" s="111" t="s">
        <v>3431</v>
      </c>
      <c r="G26" s="24" t="s">
        <v>3432</v>
      </c>
    </row>
    <row r="27" customFormat="false" ht="27.75" hidden="false" customHeight="true" outlineLevel="0" collapsed="false">
      <c r="A27" s="25" t="n">
        <v>23</v>
      </c>
      <c r="B27" s="38" t="s">
        <v>3437</v>
      </c>
      <c r="C27" s="61" t="n">
        <f aca="false">Segments!$E$31</f>
        <v>8094.42222686603</v>
      </c>
      <c r="D27" s="82" t="n">
        <v>8000</v>
      </c>
      <c r="E27" s="53" t="s">
        <v>2057</v>
      </c>
      <c r="F27" s="111" t="s">
        <v>3431</v>
      </c>
      <c r="G27" s="24" t="s">
        <v>3432</v>
      </c>
    </row>
    <row r="28" customFormat="false" ht="27.75" hidden="false" customHeight="true" outlineLevel="0" collapsed="false">
      <c r="A28" s="25" t="n">
        <v>24</v>
      </c>
      <c r="B28" s="38" t="s">
        <v>3438</v>
      </c>
      <c r="C28" s="61" t="n">
        <f aca="false">Trajectoire!$D$50</f>
        <v>28416</v>
      </c>
      <c r="D28" s="82" t="n">
        <v>29000</v>
      </c>
      <c r="E28" s="82" t="n">
        <v>1500</v>
      </c>
      <c r="F28" s="111" t="str">
        <f aca="false">IF(ABS(C28-D28)&lt;=E28,"OK","ÉCART")</f>
        <v>OK</v>
      </c>
      <c r="G28" s="24" t="s">
        <v>3413</v>
      </c>
    </row>
    <row r="29" customFormat="false" ht="27.75" hidden="false" customHeight="true" outlineLevel="0" collapsed="false">
      <c r="A29" s="25" t="n">
        <v>25</v>
      </c>
      <c r="B29" s="38" t="s">
        <v>3439</v>
      </c>
      <c r="C29" s="61" t="n">
        <f aca="false">Trajectoire!$D$41</f>
        <v>7981.43050727668</v>
      </c>
      <c r="D29" s="61" t="n">
        <f aca="false">Entrées!$C$17*1000</f>
        <v>8000</v>
      </c>
      <c r="E29" s="53" t="s">
        <v>2057</v>
      </c>
      <c r="F29" s="111" t="s">
        <v>3431</v>
      </c>
      <c r="G29" s="24" t="s">
        <v>3432</v>
      </c>
    </row>
    <row r="30" customFormat="false" ht="27.75" hidden="false" customHeight="true" outlineLevel="0" collapsed="false">
      <c r="A30" s="25" t="n">
        <v>26</v>
      </c>
      <c r="B30" s="38" t="s">
        <v>3440</v>
      </c>
      <c r="C30" s="61" t="n">
        <f aca="false">Levier!$C$46</f>
        <v>-63.7999999999993</v>
      </c>
      <c r="D30" s="82" t="n">
        <v>0</v>
      </c>
      <c r="E30" s="53" t="s">
        <v>2057</v>
      </c>
      <c r="F30" s="111" t="s">
        <v>3431</v>
      </c>
      <c r="G30" s="24" t="s">
        <v>3432</v>
      </c>
    </row>
    <row r="31" customFormat="false" ht="27.75" hidden="false" customHeight="true" outlineLevel="0" collapsed="false">
      <c r="A31" s="25" t="n">
        <v>27</v>
      </c>
      <c r="B31" s="38" t="s">
        <v>3441</v>
      </c>
      <c r="C31" s="61" t="n">
        <f aca="false">'Pont de dette'!$C$35</f>
        <v>398</v>
      </c>
      <c r="D31" s="82" t="n">
        <v>0</v>
      </c>
      <c r="E31" s="53" t="s">
        <v>2057</v>
      </c>
      <c r="F31" s="111" t="s">
        <v>3431</v>
      </c>
      <c r="G31" s="24" t="s">
        <v>3432</v>
      </c>
    </row>
    <row r="32" customFormat="false" ht="27.75" hidden="false" customHeight="true" outlineLevel="0" collapsed="false">
      <c r="A32" s="25" t="n">
        <v>28</v>
      </c>
      <c r="B32" s="38" t="s">
        <v>3442</v>
      </c>
      <c r="C32" s="61" t="n">
        <f aca="false">'Pont de dette'!$C$20</f>
        <v>236</v>
      </c>
      <c r="D32" s="82" t="n">
        <v>0</v>
      </c>
      <c r="E32" s="53" t="s">
        <v>2057</v>
      </c>
      <c r="F32" s="111" t="s">
        <v>3431</v>
      </c>
      <c r="G32" s="24" t="s">
        <v>3432</v>
      </c>
    </row>
    <row r="33" customFormat="false" ht="27.75" hidden="false" customHeight="true" outlineLevel="0" collapsed="false">
      <c r="A33" s="25" t="n">
        <v>29</v>
      </c>
      <c r="B33" s="38" t="s">
        <v>3443</v>
      </c>
      <c r="C33" s="89" t="n">
        <f aca="false">Cibles!$C$20</f>
        <v>9.375</v>
      </c>
      <c r="D33" s="89" t="n">
        <f aca="false">Cibles!$C$21</f>
        <v>9.8</v>
      </c>
      <c r="E33" s="53" t="s">
        <v>2057</v>
      </c>
      <c r="F33" s="111" t="s">
        <v>3431</v>
      </c>
      <c r="G33" s="24" t="s">
        <v>3432</v>
      </c>
    </row>
    <row r="34" customFormat="false" ht="27.75" hidden="false" customHeight="true" outlineLevel="0" collapsed="false">
      <c r="A34" s="25" t="n">
        <v>30</v>
      </c>
      <c r="B34" s="38" t="s">
        <v>3444</v>
      </c>
      <c r="C34" s="89" t="n">
        <f aca="false">Cibles!$C$32</f>
        <v>7.4</v>
      </c>
      <c r="D34" s="89" t="n">
        <f aca="false">Hypothèses!$D$21</f>
        <v>7.4</v>
      </c>
      <c r="E34" s="136" t="n">
        <v>0.001</v>
      </c>
      <c r="F34" s="111" t="str">
        <f aca="false">IF(ABS(C34-D34)&lt;=E34,"OK","ÉCART")</f>
        <v>OK</v>
      </c>
      <c r="G34" s="24" t="s">
        <v>3413</v>
      </c>
    </row>
    <row r="35" customFormat="false" ht="27.75" hidden="false" customHeight="true" outlineLevel="0" collapsed="false">
      <c r="A35" s="25" t="n">
        <v>31</v>
      </c>
      <c r="B35" s="38" t="s">
        <v>3445</v>
      </c>
      <c r="C35" s="89" t="n">
        <f aca="false">Cibles!$C$34</f>
        <v>11</v>
      </c>
      <c r="D35" s="89" t="n">
        <f aca="false">Hypothèses!$E$21</f>
        <v>11</v>
      </c>
      <c r="E35" s="136" t="n">
        <v>0.001</v>
      </c>
      <c r="F35" s="111" t="str">
        <f aca="false">IF(ABS(C35-D35)&lt;=E35,"OK","ÉCART")</f>
        <v>OK</v>
      </c>
      <c r="G35" s="24" t="s">
        <v>3413</v>
      </c>
    </row>
    <row r="36" customFormat="false" ht="27.75" hidden="false" customHeight="true" outlineLevel="0" collapsed="false">
      <c r="A36" s="25" t="n">
        <v>32</v>
      </c>
      <c r="B36" s="38" t="s">
        <v>3446</v>
      </c>
      <c r="C36" s="61" t="n">
        <f aca="false">IF(COUNTIF(Hypothèses!$I$5:$I$27,"Bas")+COUNTIF(Hypothèses!$I$5:$I$27,"Haut")=0,Simulation!$BG$15-Trajectoire!$D$58,0)</f>
        <v>0</v>
      </c>
      <c r="D36" s="82" t="n">
        <v>0</v>
      </c>
      <c r="E36" s="82" t="n">
        <v>0.5</v>
      </c>
      <c r="F36" s="111" t="str">
        <f aca="false">IF(ABS(C36-D36)&lt;=E36,"OK","ÉCART")</f>
        <v>OK</v>
      </c>
      <c r="G36" s="24" t="s">
        <v>3413</v>
      </c>
    </row>
    <row r="37" customFormat="false" ht="27.75" hidden="false" customHeight="true" outlineLevel="0" collapsed="false">
      <c r="A37" s="25" t="n">
        <v>33</v>
      </c>
      <c r="B37" s="38" t="s">
        <v>3447</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3413</v>
      </c>
    </row>
    <row r="38" customFormat="false" ht="27.75" hidden="false" customHeight="true" outlineLevel="0" collapsed="false">
      <c r="A38" s="25" t="n">
        <v>34</v>
      </c>
      <c r="B38" s="38" t="s">
        <v>3448</v>
      </c>
      <c r="C38" s="61" t="n">
        <f aca="false">'Pont EBITDA'!$C$49</f>
        <v>7981.43050727668</v>
      </c>
      <c r="D38" s="61" t="n">
        <f aca="false">'Pont EBITDA'!$C$50</f>
        <v>7981.43050727668</v>
      </c>
      <c r="E38" s="82" t="n">
        <v>1</v>
      </c>
      <c r="F38" s="111" t="str">
        <f aca="false">IF(ABS(C38-D38)&lt;=E38,"OK","ÉCART")</f>
        <v>OK</v>
      </c>
      <c r="G38" s="24" t="s">
        <v>3413</v>
      </c>
    </row>
    <row r="39" customFormat="false" ht="27.75" hidden="false" customHeight="true" outlineLevel="0" collapsed="false">
      <c r="A39" s="25" t="n">
        <v>35</v>
      </c>
      <c r="B39" s="38" t="s">
        <v>3449</v>
      </c>
      <c r="C39" s="72" t="n">
        <f aca="false">'Pont EBITDA'!$C$9</f>
        <v>0.0532807756958533</v>
      </c>
      <c r="D39" s="72" t="n">
        <f aca="false">'Pont EBITDA'!$C$10</f>
        <v>0.05</v>
      </c>
      <c r="E39" s="135" t="n">
        <v>0.01</v>
      </c>
      <c r="F39" s="111" t="str">
        <f aca="false">IF(ABS(C39-D39)&lt;=E39,"OK","ÉCART")</f>
        <v>OK</v>
      </c>
      <c r="G39" s="24" t="s">
        <v>3413</v>
      </c>
    </row>
    <row r="40" customFormat="false" ht="27.75" hidden="false" customHeight="true" outlineLevel="0" collapsed="false">
      <c r="A40" s="25" t="n">
        <v>36</v>
      </c>
      <c r="B40" s="38" t="s">
        <v>3450</v>
      </c>
      <c r="C40" s="61" t="n">
        <f aca="false">'Pont EBITDA'!$C$34</f>
        <v>460.212</v>
      </c>
      <c r="D40" s="61" t="n">
        <f aca="false">'Pont EBITDA'!$C$24</f>
        <v>427.644</v>
      </c>
      <c r="E40" s="53" t="s">
        <v>2057</v>
      </c>
      <c r="F40" s="111" t="s">
        <v>3431</v>
      </c>
      <c r="G40" s="24" t="s">
        <v>3432</v>
      </c>
    </row>
    <row r="41" customFormat="false" ht="27.75" hidden="false" customHeight="true" outlineLevel="0" collapsed="false">
      <c r="A41" s="25" t="n">
        <v>37</v>
      </c>
      <c r="B41" s="38" t="s">
        <v>3451</v>
      </c>
      <c r="C41" s="72" t="n">
        <f aca="false">'Pont EBITDA'!$C$13</f>
        <v>0.933333333333333</v>
      </c>
      <c r="D41" s="135" t="n">
        <v>1</v>
      </c>
      <c r="E41" s="53" t="s">
        <v>2057</v>
      </c>
      <c r="F41" s="111" t="s">
        <v>3431</v>
      </c>
      <c r="G41" s="24" t="s">
        <v>3432</v>
      </c>
    </row>
    <row r="42" customFormat="false" ht="27.75" hidden="false" customHeight="true" outlineLevel="0" collapsed="false">
      <c r="A42" s="25" t="n">
        <v>38</v>
      </c>
      <c r="B42" s="38" t="s">
        <v>3452</v>
      </c>
      <c r="C42" s="61" t="n">
        <f aca="false">'Pont EBITDA'!$C$29</f>
        <v>-70.356</v>
      </c>
      <c r="D42" s="82" t="n">
        <v>0</v>
      </c>
      <c r="E42" s="53" t="s">
        <v>2057</v>
      </c>
      <c r="F42" s="111" t="s">
        <v>3431</v>
      </c>
      <c r="G42" s="24" t="s">
        <v>3432</v>
      </c>
    </row>
    <row r="43" customFormat="false" ht="27.75" hidden="false" customHeight="true" outlineLevel="0" collapsed="false">
      <c r="A43" s="25" t="n">
        <v>39</v>
      </c>
      <c r="B43" s="38" t="s">
        <v>3453</v>
      </c>
      <c r="C43" s="61" t="n">
        <f aca="false">Cessions!$C$74</f>
        <v>44394</v>
      </c>
      <c r="D43" s="61" t="n">
        <f aca="false">Cessions!$C$75</f>
        <v>44396</v>
      </c>
      <c r="E43" s="82" t="n">
        <v>5</v>
      </c>
      <c r="F43" s="111" t="str">
        <f aca="false">IF(ABS(C43-D43)&lt;=E43,"OK","ÉCART")</f>
        <v>OK</v>
      </c>
      <c r="G43" s="24" t="s">
        <v>3413</v>
      </c>
    </row>
    <row r="44" customFormat="false" ht="27.75" hidden="false" customHeight="true" outlineLevel="0" collapsed="false">
      <c r="A44" s="25" t="n">
        <v>40</v>
      </c>
      <c r="B44" s="38" t="s">
        <v>3454</v>
      </c>
      <c r="C44" s="61" t="n">
        <f aca="false">Levier!$C$114</f>
        <v>4100</v>
      </c>
      <c r="D44" s="61" t="n">
        <f aca="false">Levier!$C$115</f>
        <v>4100</v>
      </c>
      <c r="E44" s="82" t="n">
        <v>1</v>
      </c>
      <c r="F44" s="111" t="str">
        <f aca="false">IF(ABS(C44-D44)&lt;=E44,"OK","ÉCART")</f>
        <v>OK</v>
      </c>
      <c r="G44" s="24" t="s">
        <v>3413</v>
      </c>
    </row>
    <row r="45" customFormat="false" ht="27.75" hidden="false" customHeight="true" outlineLevel="0" collapsed="false">
      <c r="A45" s="25" t="n">
        <v>41</v>
      </c>
      <c r="B45" s="38" t="s">
        <v>3455</v>
      </c>
      <c r="C45" s="61" t="n">
        <f aca="false">ESG!$F$40</f>
        <v>2100</v>
      </c>
      <c r="D45" s="61" t="n">
        <f aca="false">ESG!$F$41</f>
        <v>2100</v>
      </c>
      <c r="E45" s="82" t="n">
        <v>150</v>
      </c>
      <c r="F45" s="111" t="str">
        <f aca="false">IF(ABS(C45-D45)&lt;=E45,"OK","ÉCART")</f>
        <v>OK</v>
      </c>
      <c r="G45" s="24" t="s">
        <v>3413</v>
      </c>
    </row>
    <row r="46" customFormat="false" ht="27.75" hidden="false" customHeight="true" outlineLevel="0" collapsed="false">
      <c r="A46" s="25" t="n">
        <v>42</v>
      </c>
      <c r="B46" s="38" t="s">
        <v>3456</v>
      </c>
      <c r="C46" s="72" t="n">
        <f aca="false">ESG!$C$43</f>
        <v>0.466666666666667</v>
      </c>
      <c r="D46" s="72" t="n">
        <f aca="false">ESG!$C$44</f>
        <v>0.472</v>
      </c>
      <c r="E46" s="135" t="n">
        <v>0.01</v>
      </c>
      <c r="F46" s="111" t="str">
        <f aca="false">IF(ABS(C46-D46)&lt;=E46,"OK","ÉCART")</f>
        <v>OK</v>
      </c>
      <c r="G46" s="24" t="s">
        <v>3413</v>
      </c>
    </row>
    <row r="47" customFormat="false" ht="27.75" hidden="false" customHeight="true" outlineLevel="0" collapsed="false">
      <c r="A47" s="25" t="n">
        <v>43</v>
      </c>
      <c r="B47" s="38" t="s">
        <v>3457</v>
      </c>
      <c r="C47" s="72" t="n">
        <f aca="false">Cessions!$C$88</f>
        <v>0.127713920817369</v>
      </c>
      <c r="D47" s="135" t="n">
        <v>0</v>
      </c>
      <c r="E47" s="53" t="s">
        <v>2057</v>
      </c>
      <c r="F47" s="111" t="s">
        <v>3431</v>
      </c>
      <c r="G47" s="24" t="s">
        <v>3432</v>
      </c>
    </row>
    <row r="48" customFormat="false" ht="27.75" hidden="false" customHeight="true" outlineLevel="0" collapsed="false">
      <c r="A48" s="25" t="n">
        <v>44</v>
      </c>
      <c r="B48" s="38" t="s">
        <v>3458</v>
      </c>
      <c r="C48" s="72" t="n">
        <f aca="false">Levier!$C$91</f>
        <v>-0.000581395348837166</v>
      </c>
      <c r="D48" s="135" t="n">
        <v>0</v>
      </c>
      <c r="E48" s="135" t="n">
        <v>0.05</v>
      </c>
      <c r="F48" s="111" t="str">
        <f aca="false">IF(ABS(C48-D48)&lt;=E48,"OK","ÉCART")</f>
        <v>OK</v>
      </c>
      <c r="G48" s="24" t="s">
        <v>3413</v>
      </c>
    </row>
    <row r="49" customFormat="false" ht="27.75" hidden="false" customHeight="true" outlineLevel="0" collapsed="false">
      <c r="A49" s="25" t="n">
        <v>45</v>
      </c>
      <c r="B49" s="38" t="s">
        <v>3459</v>
      </c>
      <c r="C49" s="72" t="n">
        <f aca="false">Levier!$D$91</f>
        <v>-0.0194017784963622</v>
      </c>
      <c r="D49" s="135" t="n">
        <v>0</v>
      </c>
      <c r="E49" s="135" t="n">
        <v>0.05</v>
      </c>
      <c r="F49" s="111" t="str">
        <f aca="false">IF(ABS(C49-D49)&lt;=E49,"OK","ÉCART")</f>
        <v>OK</v>
      </c>
      <c r="G49" s="24" t="s">
        <v>3413</v>
      </c>
    </row>
    <row r="50" customFormat="false" ht="27.75" hidden="false" customHeight="true" outlineLevel="0" collapsed="false">
      <c r="A50" s="25" t="n">
        <v>46</v>
      </c>
      <c r="B50" s="38" t="s">
        <v>3460</v>
      </c>
      <c r="C50" s="61" t="n">
        <f aca="false">Échéancier!$C$9</f>
        <v>9642</v>
      </c>
      <c r="D50" s="61" t="n">
        <f aca="false">Échéancier!$C$10</f>
        <v>9642</v>
      </c>
      <c r="E50" s="82" t="n">
        <v>1</v>
      </c>
      <c r="F50" s="111" t="str">
        <f aca="false">IF(ABS(C50-D50)&lt;=E50,"OK","ÉCART")</f>
        <v>OK</v>
      </c>
      <c r="G50" s="24" t="s">
        <v>3413</v>
      </c>
    </row>
    <row r="51" customFormat="false" ht="27.75" hidden="false" customHeight="true" outlineLevel="0" collapsed="false">
      <c r="A51" s="25" t="n">
        <v>47</v>
      </c>
      <c r="B51" s="38" t="s">
        <v>3461</v>
      </c>
      <c r="C51" s="61" t="n">
        <f aca="false">Échéancier!$J$6</f>
        <v>22266</v>
      </c>
      <c r="D51" s="61" t="n">
        <f aca="false">Échéancier!$I$6</f>
        <v>22265</v>
      </c>
      <c r="E51" s="82" t="n">
        <v>1</v>
      </c>
      <c r="F51" s="111" t="str">
        <f aca="false">IF(ABS(C51-D51)&lt;=E51,"OK","ÉCART")</f>
        <v>OK</v>
      </c>
      <c r="G51" s="24" t="s">
        <v>3413</v>
      </c>
    </row>
    <row r="52" customFormat="false" ht="27.75" hidden="false" customHeight="true" outlineLevel="0" collapsed="false">
      <c r="A52" s="25" t="n">
        <v>48</v>
      </c>
      <c r="B52" s="38" t="s">
        <v>3462</v>
      </c>
      <c r="C52" s="61" t="n">
        <f aca="false">Échéancier!$J$10</f>
        <v>34405</v>
      </c>
      <c r="D52" s="61" t="n">
        <f aca="false">Échéancier!$I$10</f>
        <v>34404</v>
      </c>
      <c r="E52" s="82" t="n">
        <v>1</v>
      </c>
      <c r="F52" s="111" t="str">
        <f aca="false">IF(ABS(C52-D52)&lt;=E52,"OK","ÉCART")</f>
        <v>OK</v>
      </c>
      <c r="G52" s="24" t="s">
        <v>3413</v>
      </c>
    </row>
    <row r="53" customFormat="false" ht="27.75" hidden="false" customHeight="true" outlineLevel="0" collapsed="false">
      <c r="A53" s="25" t="n">
        <v>49</v>
      </c>
      <c r="B53" s="38" t="s">
        <v>3463</v>
      </c>
      <c r="C53" s="61" t="n">
        <f aca="false">Échéancier!$C$37</f>
        <v>15911</v>
      </c>
      <c r="D53" s="61" t="n">
        <f aca="false">Échéancier!$C$38</f>
        <v>15911</v>
      </c>
      <c r="E53" s="82" t="n">
        <v>1</v>
      </c>
      <c r="F53" s="111" t="str">
        <f aca="false">IF(ABS(C53-D53)&lt;=E53,"OK","ÉCART")</f>
        <v>OK</v>
      </c>
      <c r="G53" s="24" t="s">
        <v>3413</v>
      </c>
    </row>
    <row r="54" customFormat="false" ht="27.75" hidden="false" customHeight="true" outlineLevel="0" collapsed="false">
      <c r="A54" s="25" t="n">
        <v>50</v>
      </c>
      <c r="B54" s="38" t="s">
        <v>3464</v>
      </c>
      <c r="C54" s="61" t="n">
        <f aca="false">Échéancier!$C$6-Échéancier!$C$16</f>
        <v>473</v>
      </c>
      <c r="D54" s="82" t="n">
        <v>0</v>
      </c>
      <c r="E54" s="53" t="s">
        <v>2057</v>
      </c>
      <c r="F54" s="111" t="s">
        <v>3431</v>
      </c>
      <c r="G54" s="24" t="s">
        <v>3432</v>
      </c>
    </row>
    <row r="55" customFormat="false" ht="27.75" hidden="false" customHeight="true" outlineLevel="0" collapsed="false">
      <c r="A55" s="25" t="n">
        <v>51</v>
      </c>
      <c r="B55" s="38" t="s">
        <v>3465</v>
      </c>
      <c r="C55" s="97" t="n">
        <f aca="false">COUNTIF(Entrées!$L$6:$L$675,"à relire")</f>
        <v>670</v>
      </c>
      <c r="D55" s="23" t="n">
        <v>0</v>
      </c>
      <c r="E55" s="53" t="s">
        <v>2057</v>
      </c>
      <c r="F55" s="111" t="s">
        <v>3431</v>
      </c>
      <c r="G55" s="24" t="s">
        <v>3432</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3466</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3467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3468</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3469</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3470</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3471</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3472</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3473</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3474</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3475</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3476</v>
      </c>
      <c r="B11" s="2"/>
      <c r="C11" s="139" t="n">
        <v>0.4</v>
      </c>
      <c r="D11" s="2"/>
      <c r="E11" s="2"/>
      <c r="F11" s="3" t="s">
        <v>3477</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3478</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3479</v>
      </c>
      <c r="B14" s="140" t="s">
        <v>3480</v>
      </c>
      <c r="C14" s="2"/>
      <c r="D14" s="140" t="s">
        <v>3481</v>
      </c>
      <c r="E14" s="140" t="s">
        <v>2050</v>
      </c>
      <c r="F14" s="140" t="s">
        <v>3482</v>
      </c>
      <c r="G14" s="140" t="s">
        <v>2054</v>
      </c>
      <c r="H14" s="140" t="s">
        <v>3483</v>
      </c>
      <c r="I14" s="140" t="s">
        <v>2058</v>
      </c>
      <c r="J14" s="140" t="s">
        <v>3484</v>
      </c>
      <c r="K14" s="140" t="s">
        <v>2061</v>
      </c>
      <c r="L14" s="140" t="s">
        <v>3485</v>
      </c>
      <c r="M14" s="140" t="s">
        <v>2064</v>
      </c>
      <c r="N14" s="140" t="s">
        <v>3486</v>
      </c>
      <c r="O14" s="140" t="s">
        <v>2068</v>
      </c>
      <c r="P14" s="140" t="s">
        <v>3487</v>
      </c>
      <c r="Q14" s="140" t="s">
        <v>2072</v>
      </c>
      <c r="R14" s="140" t="s">
        <v>3488</v>
      </c>
      <c r="S14" s="140" t="s">
        <v>2075</v>
      </c>
      <c r="T14" s="140" t="s">
        <v>3489</v>
      </c>
      <c r="U14" s="140" t="s">
        <v>2078</v>
      </c>
      <c r="V14" s="140" t="s">
        <v>3490</v>
      </c>
      <c r="W14" s="140" t="s">
        <v>2081</v>
      </c>
      <c r="X14" s="140" t="s">
        <v>3491</v>
      </c>
      <c r="Y14" s="140" t="s">
        <v>2084</v>
      </c>
      <c r="Z14" s="140" t="s">
        <v>3492</v>
      </c>
      <c r="AA14" s="140" t="s">
        <v>2088</v>
      </c>
      <c r="AB14" s="140" t="s">
        <v>3493</v>
      </c>
      <c r="AC14" s="140" t="s">
        <v>2102</v>
      </c>
      <c r="AD14" s="140" t="s">
        <v>2599</v>
      </c>
      <c r="AE14" s="140" t="s">
        <v>2601</v>
      </c>
      <c r="AF14" s="140" t="s">
        <v>2603</v>
      </c>
      <c r="AG14" s="140" t="s">
        <v>2605</v>
      </c>
      <c r="AH14" s="140" t="s">
        <v>2607</v>
      </c>
      <c r="AI14" s="140" t="s">
        <v>2609</v>
      </c>
      <c r="AJ14" s="140" t="s">
        <v>2611</v>
      </c>
      <c r="AK14" s="140" t="s">
        <v>2613</v>
      </c>
      <c r="AL14" s="140" t="s">
        <v>2615</v>
      </c>
      <c r="AM14" s="140" t="s">
        <v>2617</v>
      </c>
      <c r="AN14" s="140" t="s">
        <v>2619</v>
      </c>
      <c r="AO14" s="140" t="s">
        <v>2621</v>
      </c>
      <c r="AP14" s="140" t="s">
        <v>2623</v>
      </c>
      <c r="AQ14" s="140" t="s">
        <v>2625</v>
      </c>
      <c r="AR14" s="140" t="s">
        <v>2627</v>
      </c>
      <c r="AS14" s="140" t="s">
        <v>2629</v>
      </c>
      <c r="AT14" s="140" t="s">
        <v>2631</v>
      </c>
      <c r="AU14" s="140" t="s">
        <v>2633</v>
      </c>
      <c r="AV14" s="140" t="s">
        <v>2635</v>
      </c>
      <c r="AW14" s="140" t="s">
        <v>2637</v>
      </c>
      <c r="AX14" s="140" t="s">
        <v>2639</v>
      </c>
      <c r="AY14" s="140" t="s">
        <v>2641</v>
      </c>
      <c r="AZ14" s="140" t="s">
        <v>2643</v>
      </c>
      <c r="BA14" s="140" t="s">
        <v>2645</v>
      </c>
      <c r="BB14" s="140" t="s">
        <v>2647</v>
      </c>
      <c r="BC14" s="140" t="s">
        <v>2649</v>
      </c>
      <c r="BD14" s="140" t="s">
        <v>2651</v>
      </c>
      <c r="BE14" s="140" t="s">
        <v>2653</v>
      </c>
      <c r="BF14" s="140" t="s">
        <v>2655</v>
      </c>
      <c r="BG14" s="140" t="s">
        <v>2657</v>
      </c>
      <c r="BH14" s="140" t="s">
        <v>2661</v>
      </c>
    </row>
    <row r="15" customFormat="false" ht="15" hidden="false" customHeight="false" outlineLevel="0" collapsed="false">
      <c r="A15" s="2" t="s">
        <v>3494</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2026-10-10T18:01:50Z</dcterms:created>
  <dc:creator>openpyxl</dc:creator>
  <dc:description/>
  <dc:language>en-US</dc:language>
  <cp:lastModifiedBy/>
  <dcterms:modified xsi:type="dcterms:W3CDTF">2026-10-10T20:02:33Z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