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li\Documents\UNAL\11SEMESTRE\APM\"/>
    </mc:Choice>
  </mc:AlternateContent>
  <xr:revisionPtr revIDLastSave="0" documentId="13_ncr:1_{E6CCD700-D187-4417-8016-CD5334A18790}" xr6:coauthVersionLast="47" xr6:coauthVersionMax="47" xr10:uidLastSave="{00000000-0000-0000-0000-000000000000}"/>
  <bookViews>
    <workbookView xWindow="-108" yWindow="-108" windowWidth="23256" windowHeight="14016" xr2:uid="{11B3B457-BDB0-44D9-87A0-6133B94DC3B7}"/>
  </bookViews>
  <sheets>
    <sheet name="Demanda y tiempos" sheetId="1" r:id="rId1"/>
    <sheet name="Procesos-VSM" sheetId="6" r:id="rId2"/>
    <sheet name="Disponibilidad intrínseca" sheetId="2" r:id="rId3"/>
    <sheet name="OEE" sheetId="4" r:id="rId4"/>
    <sheet name="Hoja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T21" i="1"/>
  <c r="T22" i="1"/>
  <c r="R19" i="1"/>
  <c r="R18" i="1"/>
  <c r="I21" i="4"/>
  <c r="J13" i="6"/>
  <c r="G6" i="6"/>
  <c r="L20" i="4"/>
  <c r="L21" i="4" s="1"/>
  <c r="G5" i="6"/>
  <c r="F6" i="6"/>
  <c r="I8" i="6"/>
  <c r="J8" i="6" s="1"/>
  <c r="I10" i="6"/>
  <c r="J10" i="6" s="1"/>
  <c r="I6" i="6"/>
  <c r="J6" i="6" s="1"/>
  <c r="G10" i="6"/>
  <c r="G9" i="6"/>
  <c r="G8" i="6"/>
  <c r="G7" i="6"/>
  <c r="F10" i="6"/>
  <c r="F9" i="6"/>
  <c r="F8" i="6"/>
  <c r="F7" i="6"/>
  <c r="F5" i="6"/>
  <c r="T19" i="1"/>
  <c r="T18" i="1"/>
  <c r="R17" i="1"/>
  <c r="T17" i="1" s="1"/>
  <c r="E10" i="6"/>
  <c r="E9" i="6"/>
  <c r="D9" i="6"/>
  <c r="I9" i="6" s="1"/>
  <c r="J9" i="6" s="1"/>
  <c r="E8" i="6"/>
  <c r="E6" i="6"/>
  <c r="E5" i="6"/>
  <c r="D10" i="6"/>
  <c r="D7" i="6"/>
  <c r="I7" i="6" s="1"/>
  <c r="J7" i="6" s="1"/>
  <c r="D5" i="6"/>
  <c r="I5" i="6" s="1"/>
  <c r="J5" i="6" s="1"/>
  <c r="C10" i="6"/>
  <c r="C7" i="6"/>
  <c r="E8" i="2"/>
  <c r="G12" i="6" l="1"/>
  <c r="G13" i="6" s="1"/>
  <c r="G14" i="6" s="1"/>
  <c r="J11" i="6"/>
  <c r="I22" i="4"/>
  <c r="I24" i="4" s="1"/>
  <c r="F12" i="6"/>
  <c r="F13" i="6" s="1"/>
  <c r="P7" i="1"/>
  <c r="Q7" i="1" s="1"/>
  <c r="R7" i="1" s="1"/>
  <c r="P6" i="1"/>
  <c r="Q6" i="1" s="1"/>
  <c r="R6" i="1" s="1"/>
  <c r="P5" i="1"/>
  <c r="Q5" i="1" s="1"/>
  <c r="R5" i="1" s="1"/>
  <c r="L13" i="1"/>
  <c r="O27" i="2"/>
  <c r="N20" i="2"/>
  <c r="O20" i="2" s="1"/>
  <c r="O17" i="2"/>
  <c r="L4" i="2"/>
  <c r="E20" i="4" s="1"/>
  <c r="N27" i="2"/>
  <c r="N17" i="2"/>
  <c r="E7" i="2"/>
  <c r="I7" i="2" s="1"/>
  <c r="I6" i="2"/>
  <c r="I8" i="2"/>
  <c r="I9" i="2"/>
  <c r="M20" i="2"/>
  <c r="E5" i="2" s="1"/>
  <c r="I5" i="2" s="1"/>
  <c r="M13" i="2"/>
  <c r="E4" i="2" s="1"/>
  <c r="I4" i="2" s="1"/>
  <c r="K5" i="1"/>
  <c r="K7" i="1" s="1"/>
  <c r="L4" i="1"/>
  <c r="L7" i="1" s="1"/>
  <c r="M7" i="1"/>
  <c r="D12" i="1"/>
  <c r="G7" i="1"/>
  <c r="H7" i="1"/>
  <c r="F7" i="1"/>
  <c r="E21" i="4" l="1"/>
  <c r="F14" i="6"/>
  <c r="F8" i="1"/>
  <c r="F9" i="1" s="1"/>
  <c r="T6" i="1"/>
  <c r="T7" i="1"/>
  <c r="T5" i="1"/>
  <c r="D14" i="1"/>
  <c r="G8" i="1"/>
  <c r="G9" i="1" s="1"/>
  <c r="H8" i="1"/>
  <c r="H9" i="1" s="1"/>
  <c r="C19" i="4" l="1"/>
  <c r="D19" i="4" s="1"/>
  <c r="E19" i="4" s="1"/>
  <c r="D15" i="1"/>
  <c r="D8" i="2" s="1"/>
  <c r="F8" i="2" s="1"/>
  <c r="C9" i="6" s="1"/>
  <c r="D5" i="2" l="1"/>
  <c r="F5" i="2" s="1"/>
  <c r="C6" i="6" s="1"/>
  <c r="D7" i="2"/>
  <c r="F7" i="2" s="1"/>
  <c r="C8" i="6" s="1"/>
  <c r="D4" i="2"/>
  <c r="F4" i="2" s="1"/>
  <c r="C5" i="6" s="1"/>
  <c r="E22" i="4"/>
  <c r="E23" i="4" s="1"/>
  <c r="E24" i="4" l="1"/>
  <c r="I19" i="4"/>
  <c r="I23" i="4" s="1"/>
  <c r="I25" i="4" l="1"/>
  <c r="E35" i="4" s="1"/>
  <c r="C35" i="4" l="1"/>
</calcChain>
</file>

<file path=xl/sharedStrings.xml><?xml version="1.0" encoding="utf-8"?>
<sst xmlns="http://schemas.openxmlformats.org/spreadsheetml/2006/main" count="200" uniqueCount="161">
  <si>
    <t>Casa de gato</t>
  </si>
  <si>
    <t>Estante</t>
  </si>
  <si>
    <t>Organizador</t>
  </si>
  <si>
    <t>Demanda del cliente (/mes)</t>
  </si>
  <si>
    <t xml:space="preserve">Días de trabajo </t>
  </si>
  <si>
    <t>Demanda del cliente (/día)</t>
  </si>
  <si>
    <t>Tiempo disponible</t>
  </si>
  <si>
    <t>Turnos de trabajo por día</t>
  </si>
  <si>
    <t>Horas por turno</t>
  </si>
  <si>
    <t xml:space="preserve">Descansos por turno </t>
  </si>
  <si>
    <t>Duración descansos (min)</t>
  </si>
  <si>
    <t>Takt time (s/producto)</t>
  </si>
  <si>
    <t>Takt time (min/producto)</t>
  </si>
  <si>
    <t>Proceso</t>
  </si>
  <si>
    <t>Lijadora</t>
  </si>
  <si>
    <t>Barnizado</t>
  </si>
  <si>
    <t>Empaquetado</t>
  </si>
  <si>
    <t>A (Availability)</t>
  </si>
  <si>
    <t>Datos para el mapa de flujo de valor (VSM)</t>
  </si>
  <si>
    <t>Producto</t>
  </si>
  <si>
    <t>Cantidad de tablas al mes</t>
  </si>
  <si>
    <t xml:space="preserve">Organizador </t>
  </si>
  <si>
    <t>TOTAL</t>
  </si>
  <si>
    <t>12 mm</t>
  </si>
  <si>
    <t>15 mm</t>
  </si>
  <si>
    <t>25 mm</t>
  </si>
  <si>
    <t>Datos</t>
  </si>
  <si>
    <t>Tiempo disponible al día (segundos)</t>
  </si>
  <si>
    <t>¿Cada cuanto se deben hacer los mantenimientos en los robots KUKA? (dempro.co)</t>
  </si>
  <si>
    <t>horas al día</t>
  </si>
  <si>
    <t>Fresado y Corte</t>
  </si>
  <si>
    <t>Lijado</t>
  </si>
  <si>
    <t>Ensamble</t>
  </si>
  <si>
    <t>Inspección</t>
  </si>
  <si>
    <t>Disponibilidad intrínseca</t>
  </si>
  <si>
    <t>Disponibilidad de cada componente dentro del sistema, observar su correcto funcionamiento. No tiene en cuenta tiempo de inactividad planificado</t>
  </si>
  <si>
    <t>1325 Automated Woodworking Engraving Machine CNC Router</t>
  </si>
  <si>
    <t>CNC Machine Maintenance: Staying on Top of Preventive Maintenance (upkeep.com)</t>
  </si>
  <si>
    <t>CNC</t>
  </si>
  <si>
    <r>
      <rPr>
        <b/>
        <sz val="11"/>
        <color theme="1"/>
        <rFont val="Calibri"/>
        <family val="2"/>
        <scheme val="minor"/>
      </rPr>
      <t>Diariamente:</t>
    </r>
    <r>
      <rPr>
        <sz val="11"/>
        <color theme="1"/>
        <rFont val="Calibri"/>
        <family val="2"/>
        <scheme val="minor"/>
      </rPr>
      <t xml:space="preserve"> chequeo de presión hidraulica y fluidos, niveles de lubricación, refrigeración y aseo general.</t>
    </r>
  </si>
  <si>
    <r>
      <rPr>
        <b/>
        <sz val="11"/>
        <color theme="1"/>
        <rFont val="Calibri"/>
        <family val="2"/>
        <scheme val="minor"/>
      </rPr>
      <t>Semanalmente:</t>
    </r>
    <r>
      <rPr>
        <sz val="11"/>
        <color theme="1"/>
        <rFont val="Calibri"/>
        <family val="2"/>
        <scheme val="minor"/>
      </rPr>
      <t xml:space="preserve"> Limpiar el filtro para que pase el aire para refrigeración</t>
    </r>
  </si>
  <si>
    <r>
      <rPr>
        <b/>
        <sz val="11"/>
        <color theme="1"/>
        <rFont val="Calibri"/>
        <family val="2"/>
        <scheme val="minor"/>
      </rPr>
      <t>Cada 6 meses o 100h:</t>
    </r>
    <r>
      <rPr>
        <sz val="11"/>
        <color theme="1"/>
        <rFont val="Calibri"/>
        <family val="2"/>
        <scheme val="minor"/>
      </rPr>
      <t xml:space="preserve"> Limpiar el depósito de refrigerante y el radiador. Drene y limpie el tanque hidráulico y reemplace los filtros. Drene y limpie la unidad de lubricación. Verifique y ajuste la nivelación de su máquina</t>
    </r>
  </si>
  <si>
    <r>
      <rPr>
        <b/>
        <sz val="11"/>
        <color theme="1"/>
        <rFont val="Calibri"/>
        <family val="2"/>
        <scheme val="minor"/>
      </rPr>
      <t>Anualmente o 200 h:</t>
    </r>
    <r>
      <rPr>
        <sz val="11"/>
        <color theme="1"/>
        <rFont val="Calibri"/>
        <family val="2"/>
        <scheme val="minor"/>
      </rPr>
      <t xml:space="preserve"> Inspeccione el cabezal. Verifique los husillos y los cilindros para ver si están alineados y agotados. Ejecute programas de contragolpe en los ejes X y Z y ajuste</t>
    </r>
  </si>
  <si>
    <t>horas al año</t>
  </si>
  <si>
    <t>Duración almuerzo (horas)</t>
  </si>
  <si>
    <t>Manual</t>
  </si>
  <si>
    <r>
      <rPr>
        <b/>
        <sz val="11"/>
        <color theme="1"/>
        <rFont val="Calibri"/>
        <family val="2"/>
        <scheme val="minor"/>
      </rPr>
      <t xml:space="preserve">Cada 3 meses o 500 h: </t>
    </r>
    <r>
      <rPr>
        <sz val="11"/>
        <color theme="1"/>
        <rFont val="Calibri"/>
        <family val="2"/>
        <scheme val="minor"/>
      </rPr>
      <t>Engrasar las cadenas o transportadores. Revise y limpie los filtros de refrigerante</t>
    </r>
  </si>
  <si>
    <t>Lijadora Rotorvital</t>
  </si>
  <si>
    <t>Lijadora (educarex.es)</t>
  </si>
  <si>
    <t>Duración (Horas)</t>
  </si>
  <si>
    <t>-</t>
  </si>
  <si>
    <t>Máquina o equipo</t>
  </si>
  <si>
    <t>Robot</t>
  </si>
  <si>
    <r>
      <t>Cambio de lija</t>
    </r>
    <r>
      <rPr>
        <b/>
        <sz val="11"/>
        <color theme="1"/>
        <rFont val="Calibri"/>
        <family val="2"/>
        <scheme val="minor"/>
      </rPr>
      <t xml:space="preserve"> diariamente</t>
    </r>
  </si>
  <si>
    <t xml:space="preserve">Anualmente: Inspección básica </t>
  </si>
  <si>
    <t>Cada 2 años: Mantenimiento de muñeca</t>
  </si>
  <si>
    <t>Cada 5 años: Mantenimiento eléctrico mayor</t>
  </si>
  <si>
    <t>Cada 2 años: Mantenimiento eléctrico menor</t>
  </si>
  <si>
    <t>Cada 4 años: Mantenimiento ejes principales</t>
  </si>
  <si>
    <t>en minutos</t>
  </si>
  <si>
    <t>MTBF o TPPF (horas)</t>
  </si>
  <si>
    <t>MTTM o TPPR (horas)</t>
  </si>
  <si>
    <t>Tiempo total de la planta</t>
  </si>
  <si>
    <t>Tiempos de inactividad planeados</t>
  </si>
  <si>
    <t>Tiempos de inactividad no planeados</t>
  </si>
  <si>
    <t>día</t>
  </si>
  <si>
    <t>mes</t>
  </si>
  <si>
    <t>5 años</t>
  </si>
  <si>
    <t>1 año</t>
  </si>
  <si>
    <t>Tiempo inactividad</t>
  </si>
  <si>
    <t>Tiempo de inactividad total (horas)</t>
  </si>
  <si>
    <t>Tiempo de ejecución real</t>
  </si>
  <si>
    <t>Tiempo de ejecución planeado</t>
  </si>
  <si>
    <t>Tiempos en horas</t>
  </si>
  <si>
    <t>Disponibilidad</t>
  </si>
  <si>
    <t>Tiempo de ciclo real</t>
  </si>
  <si>
    <t>Tiempo de ciclo diseñado</t>
  </si>
  <si>
    <t>Disponibilidad genérica</t>
  </si>
  <si>
    <t>Eficiencia de desempeño</t>
  </si>
  <si>
    <t>RE</t>
  </si>
  <si>
    <t>SE</t>
  </si>
  <si>
    <t>PE</t>
  </si>
  <si>
    <t>Piezas por producto</t>
  </si>
  <si>
    <t>Cantidad de productos por lote</t>
  </si>
  <si>
    <t>Tiempos de máquina CNC</t>
  </si>
  <si>
    <t>Minutos / unidad</t>
  </si>
  <si>
    <t xml:space="preserve">Minutos / lote </t>
  </si>
  <si>
    <t>Horas /lote</t>
  </si>
  <si>
    <t>Minutos / pieza</t>
  </si>
  <si>
    <t>Cycle time: es el tiempo durante el cual la segunda puerta en la entrada de un objeto de flujo de material se abre y se cierra cíclicamente</t>
  </si>
  <si>
    <t>Set-up time: es el tiempo que lleva configurar el objeto para procesar un tipo diferente de MU</t>
  </si>
  <si>
    <t>Recovery time: tiempo que se requiere para establecer una estación en un estado definido antes de que pueda comenzar a procesar la siguiente parte</t>
  </si>
  <si>
    <t>Partes planta tecnomatix</t>
  </si>
  <si>
    <t>https://www.distritec.com.ar/cuando-debo-realizar-el-mantenimiento-de-los-cilindros-neumaticos/#:~:text=Entre%20500%20y%203000%20km%20recorridos%20semanales%20es%20considerable%20realizar%20el%20mantenimiento.</t>
  </si>
  <si>
    <t>Cilindro neumático</t>
  </si>
  <si>
    <t>Actuador neumático</t>
  </si>
  <si>
    <t> Realizar el desarme de las unidades, limpieza de partes, recambio de partes legítimos Micro, rearmar nuevamente las unidades y realizar las pruebas correspondientes</t>
  </si>
  <si>
    <t>Cada 6 meses</t>
  </si>
  <si>
    <t>Ensamble - Pegado</t>
  </si>
  <si>
    <t>Tiempo de cambio o set-up (min)</t>
  </si>
  <si>
    <t>Tiempo de ciclo (min)</t>
  </si>
  <si>
    <t>6 horas y 40 min</t>
  </si>
  <si>
    <t>Inspección-Empaquetado</t>
  </si>
  <si>
    <t>A</t>
  </si>
  <si>
    <t>Almacenamiento 1 día</t>
  </si>
  <si>
    <t>Casa de gato (CG)</t>
  </si>
  <si>
    <t>Fresado-Corte, Lijado</t>
  </si>
  <si>
    <t>Por pieza</t>
  </si>
  <si>
    <t>Ti</t>
  </si>
  <si>
    <t>Tf</t>
  </si>
  <si>
    <t>Por lote (20 unidades o 60 piezas)</t>
  </si>
  <si>
    <t>1:56:00:00</t>
  </si>
  <si>
    <t>3:33:00</t>
  </si>
  <si>
    <t>1:00:56:00</t>
  </si>
  <si>
    <t>52:00</t>
  </si>
  <si>
    <t>3:52:00</t>
  </si>
  <si>
    <t>56:00</t>
  </si>
  <si>
    <t>1:01:52:40</t>
  </si>
  <si>
    <t>1:03:52:00</t>
  </si>
  <si>
    <t>3 días</t>
  </si>
  <si>
    <t>1 día</t>
  </si>
  <si>
    <t>Salida de defectuosos</t>
  </si>
  <si>
    <t>1 mes</t>
  </si>
  <si>
    <t>OEE</t>
  </si>
  <si>
    <t>Disponibilidad (A)</t>
  </si>
  <si>
    <t>Tasa de calidad (Q)</t>
  </si>
  <si>
    <t>Tasa de calidad</t>
  </si>
  <si>
    <t>Resultados Tecnomatix: 3 días</t>
  </si>
  <si>
    <t>Waiting Time (h)</t>
  </si>
  <si>
    <t>Working Time (h)</t>
  </si>
  <si>
    <t>Minutos</t>
  </si>
  <si>
    <t>Horas</t>
  </si>
  <si>
    <t>Tiempo de ciclo diseñado por lote (20 unidades)</t>
  </si>
  <si>
    <t>Unidades producidas al año</t>
  </si>
  <si>
    <t>Total</t>
  </si>
  <si>
    <t>Tiempo de ciclo 1 año</t>
  </si>
  <si>
    <t>CG1</t>
  </si>
  <si>
    <t>CG2</t>
  </si>
  <si>
    <t>Color</t>
  </si>
  <si>
    <t>Nombre de pieza</t>
  </si>
  <si>
    <t>Morado</t>
  </si>
  <si>
    <t>Repisa</t>
  </si>
  <si>
    <t>Rojo</t>
  </si>
  <si>
    <t>RL1</t>
  </si>
  <si>
    <t>RL3</t>
  </si>
  <si>
    <t>Azul</t>
  </si>
  <si>
    <t>MO1</t>
  </si>
  <si>
    <t>MO2</t>
  </si>
  <si>
    <t>Base de la repisa</t>
  </si>
  <si>
    <t>Piezas laterales repisa</t>
  </si>
  <si>
    <t>Pieza principal</t>
  </si>
  <si>
    <t xml:space="preserve">Apoyos </t>
  </si>
  <si>
    <t xml:space="preserve">Pieza asimétrica </t>
  </si>
  <si>
    <t xml:space="preserve">Pieza simétrica </t>
  </si>
  <si>
    <t>Descripción</t>
  </si>
  <si>
    <t>Unidades</t>
  </si>
  <si>
    <t>Días para producir un lote</t>
  </si>
  <si>
    <t>Unidades producidas al mes</t>
  </si>
  <si>
    <t>SZGH -P1500-B-6</t>
  </si>
  <si>
    <t xml:space="preserve">Volumen real de producción </t>
  </si>
  <si>
    <t>Volumen real de 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</si>
</sst>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0" xfId="0" applyFill="1"/>
    <xf numFmtId="0" fontId="3" fillId="4" borderId="1" xfId="0" applyFont="1" applyFill="1" applyBorder="1" applyAlignment="1">
      <alignment horizontal="center" vertical="center"/>
    </xf>
    <xf numFmtId="1" fontId="0" fillId="0" borderId="1" xfId="0" applyNumberFormat="1" applyBorder="1"/>
    <xf numFmtId="10" fontId="0" fillId="0" borderId="1" xfId="2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0" xfId="0" applyNumberFormat="1"/>
    <xf numFmtId="2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/>
    <xf numFmtId="2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/>
    <xf numFmtId="0" fontId="2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3" fillId="9" borderId="1" xfId="0" applyFont="1" applyFill="1" applyBorder="1"/>
    <xf numFmtId="0" fontId="0" fillId="9" borderId="1" xfId="0" applyFill="1" applyBorder="1"/>
    <xf numFmtId="0" fontId="0" fillId="6" borderId="1" xfId="0" applyFill="1" applyBorder="1"/>
    <xf numFmtId="0" fontId="8" fillId="3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3" fillId="4" borderId="1" xfId="0" applyFont="1" applyFill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9" fontId="0" fillId="0" borderId="1" xfId="2" applyFont="1" applyBorder="1"/>
    <xf numFmtId="10" fontId="3" fillId="9" borderId="1" xfId="2" applyNumberFormat="1" applyFont="1" applyFill="1" applyBorder="1"/>
    <xf numFmtId="2" fontId="3" fillId="9" borderId="1" xfId="0" applyNumberFormat="1" applyFont="1" applyFill="1" applyBorder="1"/>
    <xf numFmtId="9" fontId="3" fillId="9" borderId="1" xfId="0" applyNumberFormat="1" applyFont="1" applyFill="1" applyBorder="1"/>
    <xf numFmtId="0" fontId="0" fillId="7" borderId="1" xfId="0" applyFill="1" applyBorder="1" applyAlignment="1">
      <alignment horizontal="center" vertic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right"/>
    </xf>
    <xf numFmtId="2" fontId="3" fillId="9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5" borderId="0" xfId="0" applyFill="1" applyAlignment="1">
      <alignment horizontal="right"/>
    </xf>
    <xf numFmtId="9" fontId="3" fillId="9" borderId="1" xfId="2" applyFont="1" applyFill="1" applyBorder="1"/>
    <xf numFmtId="0" fontId="2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" xfId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7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5CA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809631</xdr:colOff>
      <xdr:row>13</xdr:row>
      <xdr:rowOff>353586</xdr:rowOff>
    </xdr:from>
    <xdr:to>
      <xdr:col>4</xdr:col>
      <xdr:colOff>451958</xdr:colOff>
      <xdr:row>21</xdr:row>
      <xdr:rowOff>47386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F27ABF9-5058-EE7C-7DCA-5F7CB51B3B93}"/>
            </a:ext>
          </a:extLst>
        </xdr:cNvPr>
        <xdr:cNvGrpSpPr/>
      </xdr:nvGrpSpPr>
      <xdr:grpSpPr>
        <a:xfrm>
          <a:off x="1419231" y="3383657"/>
          <a:ext cx="4097786" cy="3225894"/>
          <a:chOff x="513572" y="2450812"/>
          <a:chExt cx="3795473" cy="331633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F884973-1647-AD52-0F6F-108D322C771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754"/>
          <a:stretch/>
        </xdr:blipFill>
        <xdr:spPr>
          <a:xfrm>
            <a:off x="513572" y="2450812"/>
            <a:ext cx="3785433" cy="2306141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00BA232-C600-079E-3C57-9C406C1A8D3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76670" r="32251"/>
          <a:stretch/>
        </xdr:blipFill>
        <xdr:spPr>
          <a:xfrm>
            <a:off x="688017" y="4719962"/>
            <a:ext cx="3621028" cy="584447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62FCF23-B613-E76C-7F7F-616DC25C3D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25010" y="5246572"/>
            <a:ext cx="3543670" cy="52057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5</xdr:row>
      <xdr:rowOff>38100</xdr:rowOff>
    </xdr:from>
    <xdr:to>
      <xdr:col>6</xdr:col>
      <xdr:colOff>7299</xdr:colOff>
      <xdr:row>14</xdr:row>
      <xdr:rowOff>163553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D7238-DA77-4B40-9F09-D55C88357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" y="403860"/>
          <a:ext cx="3771579" cy="1771373"/>
        </a:xfrm>
        <a:prstGeom prst="rect">
          <a:avLst/>
        </a:prstGeom>
      </xdr:spPr>
    </xdr:pic>
    <xdr:clientData/>
  </xdr:twoCellAnchor>
  <xdr:twoCellAnchor editAs="oneCell">
    <xdr:from>
      <xdr:col>6</xdr:col>
      <xdr:colOff>165749</xdr:colOff>
      <xdr:row>0</xdr:row>
      <xdr:rowOff>49914</xdr:rowOff>
    </xdr:from>
    <xdr:to>
      <xdr:col>9</xdr:col>
      <xdr:colOff>278238</xdr:colOff>
      <xdr:row>9</xdr:row>
      <xdr:rowOff>88014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C0C443-208C-4021-AD7C-46254AE53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0549" y="49914"/>
          <a:ext cx="3251929" cy="1684020"/>
        </a:xfrm>
        <a:prstGeom prst="rect">
          <a:avLst/>
        </a:prstGeom>
      </xdr:spPr>
    </xdr:pic>
    <xdr:clientData/>
  </xdr:twoCellAnchor>
  <xdr:twoCellAnchor editAs="oneCell">
    <xdr:from>
      <xdr:col>7</xdr:col>
      <xdr:colOff>107224</xdr:colOff>
      <xdr:row>9</xdr:row>
      <xdr:rowOff>31850</xdr:rowOff>
    </xdr:from>
    <xdr:to>
      <xdr:col>8</xdr:col>
      <xdr:colOff>647700</xdr:colOff>
      <xdr:row>14</xdr:row>
      <xdr:rowOff>123304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552594-7A5D-46BB-964A-A5BDE0FFE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46864" y="1677770"/>
          <a:ext cx="2293076" cy="1005854"/>
        </a:xfrm>
        <a:prstGeom prst="rect">
          <a:avLst/>
        </a:prstGeom>
      </xdr:spPr>
    </xdr:pic>
    <xdr:clientData/>
  </xdr:twoCellAnchor>
  <xdr:twoCellAnchor editAs="oneCell">
    <xdr:from>
      <xdr:col>9</xdr:col>
      <xdr:colOff>403860</xdr:colOff>
      <xdr:row>6</xdr:row>
      <xdr:rowOff>81325</xdr:rowOff>
    </xdr:from>
    <xdr:to>
      <xdr:col>13</xdr:col>
      <xdr:colOff>472072</xdr:colOff>
      <xdr:row>14</xdr:row>
      <xdr:rowOff>30283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8D96C2-EB00-E997-1D37-114DC20F8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8100" y="1178605"/>
          <a:ext cx="3626267" cy="1411998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586740</xdr:colOff>
      <xdr:row>26</xdr:row>
      <xdr:rowOff>45720</xdr:rowOff>
    </xdr:from>
    <xdr:to>
      <xdr:col>5</xdr:col>
      <xdr:colOff>83820</xdr:colOff>
      <xdr:row>32</xdr:row>
      <xdr:rowOff>120965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12D66635-8155-491B-B7A1-646E07D26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6740" y="4800600"/>
          <a:ext cx="2987040" cy="117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mpro.co/post/cada-cuanto-se-deben-hacer-los-mantenimientos-en-los-robots-kuka" TargetMode="External"/><Relationship Id="rId2" Type="http://schemas.openxmlformats.org/officeDocument/2006/relationships/hyperlink" Target="https://www.educarex.es/pub/cont/com/0055/documentos/10_Informaci%C3%B3n/07_Herramientas/La_lijadora.pdf" TargetMode="External"/><Relationship Id="rId1" Type="http://schemas.openxmlformats.org/officeDocument/2006/relationships/hyperlink" Target="https://www.upkeep.com/learning/preventive-maintenance-on-cnc-machine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stritec.com.ar/cuando-debo-realizar-el-mantenimiento-de-los-cilindros-neumatico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AAA4-7EE7-44C3-83C7-540B753B7FEF}">
  <dimension ref="B1:T29"/>
  <sheetViews>
    <sheetView tabSelected="1" zoomScale="113" zoomScaleNormal="160" workbookViewId="0">
      <selection activeCell="J25" sqref="J25"/>
    </sheetView>
  </sheetViews>
  <sheetFormatPr baseColWidth="10" defaultColWidth="8.88671875" defaultRowHeight="14.4" x14ac:dyDescent="0.3"/>
  <cols>
    <col min="1" max="1" width="15.33203125" customWidth="1"/>
    <col min="2" max="2" width="7.33203125" customWidth="1"/>
    <col min="3" max="3" width="33.44140625" bestFit="1" customWidth="1"/>
    <col min="4" max="4" width="13.5546875" customWidth="1"/>
    <col min="5" max="5" width="24.6640625" customWidth="1"/>
    <col min="6" max="6" width="12.5546875" customWidth="1"/>
    <col min="7" max="7" width="11.21875" bestFit="1" customWidth="1"/>
    <col min="8" max="8" width="11.44140625" customWidth="1"/>
    <col min="10" max="10" width="11.6640625" customWidth="1"/>
    <col min="11" max="11" width="7.88671875" customWidth="1"/>
    <col min="12" max="12" width="7.5546875" customWidth="1"/>
    <col min="13" max="13" width="7.33203125" customWidth="1"/>
    <col min="14" max="14" width="6.5546875" customWidth="1"/>
    <col min="15" max="15" width="30.33203125" bestFit="1" customWidth="1"/>
    <col min="16" max="16" width="17.33203125" bestFit="1" customWidth="1"/>
    <col min="17" max="17" width="12.5546875" customWidth="1"/>
    <col min="18" max="18" width="15.33203125" customWidth="1"/>
    <col min="19" max="19" width="19.5546875" hidden="1" customWidth="1"/>
    <col min="20" max="20" width="19.21875" customWidth="1"/>
  </cols>
  <sheetData>
    <row r="1" spans="3:20" ht="25.2" customHeight="1" x14ac:dyDescent="0.3"/>
    <row r="2" spans="3:20" ht="31.2" customHeight="1" x14ac:dyDescent="0.3">
      <c r="K2" s="63" t="s">
        <v>20</v>
      </c>
      <c r="L2" s="63"/>
      <c r="M2" s="63"/>
    </row>
    <row r="3" spans="3:20" ht="14.4" customHeight="1" x14ac:dyDescent="0.3">
      <c r="C3" s="66" t="s">
        <v>18</v>
      </c>
      <c r="D3" s="67"/>
      <c r="E3" s="67"/>
      <c r="F3" s="67"/>
      <c r="G3" s="67"/>
      <c r="H3" s="68"/>
      <c r="J3" s="8" t="s">
        <v>19</v>
      </c>
      <c r="K3" s="11" t="s">
        <v>23</v>
      </c>
      <c r="L3" s="12" t="s">
        <v>24</v>
      </c>
      <c r="M3" s="12" t="s">
        <v>25</v>
      </c>
      <c r="O3" s="44" t="s">
        <v>83</v>
      </c>
      <c r="P3" s="43">
        <v>20</v>
      </c>
    </row>
    <row r="4" spans="3:20" ht="15.6" x14ac:dyDescent="0.3">
      <c r="C4" s="69"/>
      <c r="D4" s="70"/>
      <c r="E4" s="70"/>
      <c r="F4" s="70"/>
      <c r="G4" s="70"/>
      <c r="H4" s="71"/>
      <c r="J4" s="10" t="s">
        <v>21</v>
      </c>
      <c r="K4" s="2"/>
      <c r="L4" s="7">
        <f>4+1</f>
        <v>5</v>
      </c>
      <c r="M4" s="2"/>
      <c r="O4" s="41" t="s">
        <v>84</v>
      </c>
      <c r="P4" s="42" t="s">
        <v>85</v>
      </c>
      <c r="Q4" s="42" t="s">
        <v>86</v>
      </c>
      <c r="R4" s="42" t="s">
        <v>87</v>
      </c>
      <c r="S4" s="42" t="s">
        <v>82</v>
      </c>
      <c r="T4" s="42" t="s">
        <v>88</v>
      </c>
    </row>
    <row r="5" spans="3:20" ht="17.399999999999999" customHeight="1" x14ac:dyDescent="0.3">
      <c r="C5" s="64" t="s">
        <v>6</v>
      </c>
      <c r="D5" s="65"/>
      <c r="E5" s="14" t="s">
        <v>26</v>
      </c>
      <c r="F5" s="14" t="s">
        <v>2</v>
      </c>
      <c r="G5" s="14" t="s">
        <v>141</v>
      </c>
      <c r="H5" s="14" t="s">
        <v>0</v>
      </c>
      <c r="J5" s="10" t="s">
        <v>141</v>
      </c>
      <c r="K5" s="2">
        <f>3+3+4</f>
        <v>10</v>
      </c>
      <c r="L5" s="2"/>
      <c r="M5" s="2">
        <v>3</v>
      </c>
      <c r="O5" s="2" t="s">
        <v>2</v>
      </c>
      <c r="P5" s="2">
        <f>4+30/60</f>
        <v>4.5</v>
      </c>
      <c r="Q5" s="2">
        <f>P5*P3</f>
        <v>90</v>
      </c>
      <c r="R5" s="2">
        <f>Q5/60</f>
        <v>1.5</v>
      </c>
      <c r="S5" s="2">
        <v>60</v>
      </c>
      <c r="T5" s="2">
        <f>Q5/S5</f>
        <v>1.5</v>
      </c>
    </row>
    <row r="6" spans="3:20" x14ac:dyDescent="0.3">
      <c r="C6" s="6" t="s">
        <v>4</v>
      </c>
      <c r="D6" s="2">
        <v>20</v>
      </c>
      <c r="E6" s="2" t="s">
        <v>3</v>
      </c>
      <c r="F6" s="2">
        <v>150</v>
      </c>
      <c r="G6" s="2">
        <v>200</v>
      </c>
      <c r="H6" s="2">
        <v>400</v>
      </c>
      <c r="J6" s="10" t="s">
        <v>0</v>
      </c>
      <c r="K6" s="2">
        <v>100</v>
      </c>
      <c r="L6" s="2"/>
      <c r="M6" s="2"/>
      <c r="O6" s="2" t="s">
        <v>1</v>
      </c>
      <c r="P6" s="2">
        <f>7+30/60</f>
        <v>7.5</v>
      </c>
      <c r="Q6" s="2">
        <f>P6*P3</f>
        <v>150</v>
      </c>
      <c r="R6" s="2">
        <f t="shared" ref="R6:R7" si="0">Q6/60</f>
        <v>2.5</v>
      </c>
      <c r="S6" s="2">
        <v>100</v>
      </c>
      <c r="T6" s="2">
        <f>Q6/S6</f>
        <v>1.5</v>
      </c>
    </row>
    <row r="7" spans="3:20" x14ac:dyDescent="0.3">
      <c r="C7" s="6" t="s">
        <v>7</v>
      </c>
      <c r="D7" s="2">
        <v>1</v>
      </c>
      <c r="E7" s="2" t="s">
        <v>5</v>
      </c>
      <c r="F7" s="2">
        <f>ROUNDUP(F6/$D$6,0)</f>
        <v>8</v>
      </c>
      <c r="G7" s="2">
        <f>ROUNDUP(G6/$D$6,0)</f>
        <v>10</v>
      </c>
      <c r="H7" s="2">
        <f>ROUNDUP(H6/$D$6,0)</f>
        <v>20</v>
      </c>
      <c r="J7" s="9" t="s">
        <v>22</v>
      </c>
      <c r="K7" s="2">
        <f>SUM(K4:K6)</f>
        <v>110</v>
      </c>
      <c r="L7" s="2">
        <f t="shared" ref="L7:M7" si="1">SUM(L4:L6)</f>
        <v>5</v>
      </c>
      <c r="M7" s="2">
        <f t="shared" si="1"/>
        <v>3</v>
      </c>
      <c r="O7" s="2" t="s">
        <v>0</v>
      </c>
      <c r="P7" s="28">
        <f>31/60</f>
        <v>0.51666666666666672</v>
      </c>
      <c r="Q7" s="28">
        <f>P7*P3</f>
        <v>10.333333333333334</v>
      </c>
      <c r="R7" s="28">
        <f t="shared" si="0"/>
        <v>0.17222222222222222</v>
      </c>
      <c r="S7" s="2">
        <v>60</v>
      </c>
      <c r="T7" s="28">
        <f>Q7/S7</f>
        <v>0.17222222222222222</v>
      </c>
    </row>
    <row r="8" spans="3:20" x14ac:dyDescent="0.3">
      <c r="C8" s="6" t="s">
        <v>8</v>
      </c>
      <c r="D8" s="2">
        <v>9</v>
      </c>
      <c r="E8" s="5" t="s">
        <v>11</v>
      </c>
      <c r="F8" s="2">
        <f>$D$12/F7</f>
        <v>3450</v>
      </c>
      <c r="G8" s="2">
        <f>$D$12/G7</f>
        <v>2760</v>
      </c>
      <c r="H8" s="2">
        <f>$D$12/H7</f>
        <v>1380</v>
      </c>
    </row>
    <row r="9" spans="3:20" x14ac:dyDescent="0.3">
      <c r="C9" s="6" t="s">
        <v>44</v>
      </c>
      <c r="D9" s="2">
        <v>1</v>
      </c>
      <c r="E9" s="5" t="s">
        <v>12</v>
      </c>
      <c r="F9" s="15">
        <f>F8/60</f>
        <v>57.5</v>
      </c>
      <c r="G9" s="2">
        <f t="shared" ref="G9:H9" si="2">G8/60</f>
        <v>46</v>
      </c>
      <c r="H9" s="2">
        <f t="shared" si="2"/>
        <v>23</v>
      </c>
      <c r="O9" s="58"/>
      <c r="P9" s="58"/>
      <c r="Q9" s="58"/>
      <c r="R9" s="58"/>
      <c r="S9" s="58"/>
    </row>
    <row r="10" spans="3:20" x14ac:dyDescent="0.3">
      <c r="C10" s="6" t="s">
        <v>9</v>
      </c>
      <c r="D10" s="2">
        <v>2</v>
      </c>
      <c r="E10" s="13"/>
      <c r="F10" s="13"/>
      <c r="G10" s="13"/>
      <c r="H10" s="13"/>
    </row>
    <row r="11" spans="3:20" x14ac:dyDescent="0.3">
      <c r="C11" s="6" t="s">
        <v>10</v>
      </c>
      <c r="D11" s="2">
        <v>10</v>
      </c>
      <c r="E11" s="13"/>
      <c r="F11" s="13"/>
      <c r="G11" s="13"/>
      <c r="H11" s="13"/>
    </row>
    <row r="12" spans="3:20" x14ac:dyDescent="0.3">
      <c r="C12" s="6" t="s">
        <v>27</v>
      </c>
      <c r="D12" s="2">
        <f>(D8*D7)*3600-(D10*D7*D11)*60-(D9*3600)</f>
        <v>27600</v>
      </c>
      <c r="E12" s="13"/>
      <c r="F12" s="13"/>
      <c r="G12" s="13"/>
      <c r="H12" s="13"/>
    </row>
    <row r="13" spans="3:20" x14ac:dyDescent="0.3">
      <c r="L13">
        <f>5/D6</f>
        <v>0.25</v>
      </c>
    </row>
    <row r="14" spans="3:20" x14ac:dyDescent="0.3">
      <c r="D14" s="24">
        <f>D12/3600</f>
        <v>7.666666666666667</v>
      </c>
      <c r="E14" t="s">
        <v>29</v>
      </c>
      <c r="F14" t="s">
        <v>101</v>
      </c>
    </row>
    <row r="15" spans="3:20" x14ac:dyDescent="0.3">
      <c r="D15">
        <f>D14*D6*12</f>
        <v>1840</v>
      </c>
      <c r="E15" t="s">
        <v>43</v>
      </c>
      <c r="Q15" s="62"/>
      <c r="R15" s="61" t="s">
        <v>156</v>
      </c>
      <c r="S15" s="35"/>
      <c r="T15" s="61" t="s">
        <v>157</v>
      </c>
    </row>
    <row r="16" spans="3:20" x14ac:dyDescent="0.3">
      <c r="Q16" s="62"/>
      <c r="R16" s="61"/>
      <c r="S16" s="35" t="s">
        <v>155</v>
      </c>
      <c r="T16" s="61"/>
    </row>
    <row r="17" spans="2:20" x14ac:dyDescent="0.3">
      <c r="Q17" s="35" t="s">
        <v>0</v>
      </c>
      <c r="R17" s="28">
        <f>27/24</f>
        <v>1.125</v>
      </c>
      <c r="S17" s="28">
        <v>20</v>
      </c>
      <c r="T17" s="28">
        <f>24*S17/R17</f>
        <v>426.66666666666669</v>
      </c>
    </row>
    <row r="18" spans="2:20" x14ac:dyDescent="0.3">
      <c r="Q18" s="35" t="s">
        <v>141</v>
      </c>
      <c r="R18" s="28">
        <f>55/24</f>
        <v>2.2916666666666665</v>
      </c>
      <c r="S18" s="28">
        <v>20</v>
      </c>
      <c r="T18" s="28">
        <f>24*S18/R18</f>
        <v>209.45454545454547</v>
      </c>
    </row>
    <row r="19" spans="2:20" x14ac:dyDescent="0.3">
      <c r="B19" s="90"/>
      <c r="C19" s="90" t="s">
        <v>89</v>
      </c>
      <c r="D19" s="90"/>
      <c r="E19" s="90"/>
      <c r="F19" s="90"/>
      <c r="G19" s="90"/>
      <c r="H19" s="90"/>
      <c r="Q19" s="35" t="s">
        <v>2</v>
      </c>
      <c r="R19" s="28">
        <f>75/24</f>
        <v>3.125</v>
      </c>
      <c r="S19" s="28">
        <v>20</v>
      </c>
      <c r="T19" s="28">
        <f>24*S19/R19</f>
        <v>153.6</v>
      </c>
    </row>
    <row r="20" spans="2:20" x14ac:dyDescent="0.3">
      <c r="B20" s="90"/>
      <c r="C20" s="90" t="s">
        <v>90</v>
      </c>
      <c r="D20" s="90"/>
      <c r="E20" s="90"/>
      <c r="F20" s="90"/>
      <c r="G20" s="90"/>
      <c r="H20" s="90"/>
    </row>
    <row r="21" spans="2:20" x14ac:dyDescent="0.3">
      <c r="B21" s="90"/>
      <c r="C21" s="90" t="s">
        <v>91</v>
      </c>
      <c r="D21" s="90"/>
      <c r="E21" s="90"/>
      <c r="F21" s="90"/>
      <c r="G21" s="90"/>
      <c r="H21" s="90"/>
      <c r="R21">
        <f>AVERAGE(R17:R19)</f>
        <v>2.1805555555555554</v>
      </c>
      <c r="T21">
        <f>SUM(T17:T19)</f>
        <v>789.72121212121215</v>
      </c>
    </row>
    <row r="22" spans="2:20" x14ac:dyDescent="0.3">
      <c r="B22" s="90"/>
      <c r="C22" s="90"/>
      <c r="D22" s="90"/>
      <c r="E22" s="90"/>
      <c r="F22" s="90"/>
      <c r="G22" s="90"/>
      <c r="H22" s="90"/>
      <c r="T22">
        <f>T21*12</f>
        <v>9476.6545454545449</v>
      </c>
    </row>
    <row r="23" spans="2:20" x14ac:dyDescent="0.3">
      <c r="B23" s="90"/>
      <c r="C23" s="90" t="s">
        <v>105</v>
      </c>
      <c r="D23" s="91" t="s">
        <v>107</v>
      </c>
      <c r="E23" s="91"/>
      <c r="F23" s="90" t="s">
        <v>110</v>
      </c>
      <c r="G23" s="90"/>
      <c r="H23" s="90"/>
    </row>
    <row r="24" spans="2:20" x14ac:dyDescent="0.3">
      <c r="B24" s="91" t="s">
        <v>92</v>
      </c>
      <c r="C24" s="91"/>
      <c r="D24" s="90" t="s">
        <v>108</v>
      </c>
      <c r="E24" s="90" t="s">
        <v>109</v>
      </c>
      <c r="F24" s="90"/>
      <c r="G24" s="90"/>
      <c r="H24" s="90"/>
    </row>
    <row r="25" spans="2:20" x14ac:dyDescent="0.3">
      <c r="B25" s="90">
        <v>1</v>
      </c>
      <c r="C25" s="90" t="s">
        <v>106</v>
      </c>
      <c r="D25" s="92">
        <v>0</v>
      </c>
      <c r="E25" s="92" t="s">
        <v>114</v>
      </c>
      <c r="F25" s="92">
        <v>0</v>
      </c>
      <c r="G25" s="92" t="s">
        <v>112</v>
      </c>
      <c r="H25" s="90"/>
    </row>
    <row r="26" spans="2:20" x14ac:dyDescent="0.3">
      <c r="B26" s="93">
        <v>2</v>
      </c>
      <c r="C26" s="90" t="s">
        <v>15</v>
      </c>
      <c r="D26" s="92" t="s">
        <v>114</v>
      </c>
      <c r="E26" s="92" t="s">
        <v>116</v>
      </c>
      <c r="F26" s="92" t="s">
        <v>114</v>
      </c>
      <c r="G26" s="92" t="s">
        <v>115</v>
      </c>
      <c r="H26" s="90"/>
    </row>
    <row r="27" spans="2:20" x14ac:dyDescent="0.3">
      <c r="B27" s="93" t="s">
        <v>103</v>
      </c>
      <c r="C27" s="90" t="s">
        <v>104</v>
      </c>
      <c r="D27" s="92" t="s">
        <v>116</v>
      </c>
      <c r="E27" s="92" t="s">
        <v>113</v>
      </c>
      <c r="F27" s="92" t="s">
        <v>116</v>
      </c>
      <c r="G27" s="92" t="s">
        <v>118</v>
      </c>
      <c r="H27" s="90"/>
    </row>
    <row r="28" spans="2:20" x14ac:dyDescent="0.3">
      <c r="B28" s="90">
        <v>3</v>
      </c>
      <c r="C28" s="90" t="s">
        <v>102</v>
      </c>
      <c r="D28" s="92" t="s">
        <v>111</v>
      </c>
      <c r="E28" s="92"/>
      <c r="F28" s="92" t="s">
        <v>113</v>
      </c>
      <c r="G28" s="92" t="s">
        <v>117</v>
      </c>
      <c r="H28" s="90"/>
    </row>
    <row r="29" spans="2:20" x14ac:dyDescent="0.3">
      <c r="D29" s="48"/>
    </row>
  </sheetData>
  <mergeCells count="8">
    <mergeCell ref="B24:C24"/>
    <mergeCell ref="D23:E23"/>
    <mergeCell ref="R15:R16"/>
    <mergeCell ref="T15:T16"/>
    <mergeCell ref="Q15:Q16"/>
    <mergeCell ref="K2:M2"/>
    <mergeCell ref="C5:D5"/>
    <mergeCell ref="C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E62D-023F-4539-BB32-4E24C9550440}">
  <dimension ref="B2:J14"/>
  <sheetViews>
    <sheetView zoomScale="85" zoomScaleNormal="85" workbookViewId="0">
      <selection activeCell="I18" sqref="I18"/>
    </sheetView>
  </sheetViews>
  <sheetFormatPr baseColWidth="10" defaultColWidth="9.109375" defaultRowHeight="14.4" x14ac:dyDescent="0.3"/>
  <cols>
    <col min="2" max="2" width="16.44140625" bestFit="1" customWidth="1"/>
    <col min="3" max="3" width="17.33203125" customWidth="1"/>
    <col min="4" max="4" width="19.33203125" bestFit="1" customWidth="1"/>
    <col min="5" max="5" width="17.6640625" customWidth="1"/>
    <col min="6" max="6" width="15.109375" bestFit="1" customWidth="1"/>
    <col min="7" max="7" width="15.6640625" bestFit="1" customWidth="1"/>
    <col min="9" max="9" width="24.21875" customWidth="1"/>
  </cols>
  <sheetData>
    <row r="2" spans="2:10" x14ac:dyDescent="0.3">
      <c r="I2" s="85" t="s">
        <v>132</v>
      </c>
      <c r="J2" s="85"/>
    </row>
    <row r="3" spans="2:10" ht="15.6" customHeight="1" x14ac:dyDescent="0.3">
      <c r="B3" s="83"/>
      <c r="C3" s="83"/>
      <c r="D3" s="83"/>
      <c r="E3" s="83"/>
      <c r="F3" s="61" t="s">
        <v>127</v>
      </c>
      <c r="G3" s="61"/>
      <c r="I3" s="85"/>
      <c r="J3" s="85"/>
    </row>
    <row r="4" spans="2:10" ht="28.8" x14ac:dyDescent="0.3">
      <c r="B4" s="36" t="s">
        <v>13</v>
      </c>
      <c r="C4" s="36" t="s">
        <v>74</v>
      </c>
      <c r="D4" s="36" t="s">
        <v>100</v>
      </c>
      <c r="E4" s="17" t="s">
        <v>99</v>
      </c>
      <c r="F4" s="36" t="s">
        <v>128</v>
      </c>
      <c r="G4" s="36" t="s">
        <v>129</v>
      </c>
      <c r="I4" s="53" t="s">
        <v>130</v>
      </c>
      <c r="J4" s="53" t="s">
        <v>131</v>
      </c>
    </row>
    <row r="5" spans="2:10" x14ac:dyDescent="0.3">
      <c r="B5" s="2" t="s">
        <v>30</v>
      </c>
      <c r="C5" s="46">
        <f>'Disponibilidad intrínseca'!F4</f>
        <v>0.94076086956521743</v>
      </c>
      <c r="D5" s="2">
        <f>2*60+30</f>
        <v>150</v>
      </c>
      <c r="E5" s="45">
        <f>30/60</f>
        <v>0.5</v>
      </c>
      <c r="F5" s="28">
        <f>10/60+34/3600</f>
        <v>0.17611111111111111</v>
      </c>
      <c r="G5" s="28">
        <f>2+30/60+30/3600</f>
        <v>2.5083333333333333</v>
      </c>
      <c r="I5" s="28">
        <f>D5</f>
        <v>150</v>
      </c>
      <c r="J5" s="28">
        <f>I5/60</f>
        <v>2.5</v>
      </c>
    </row>
    <row r="6" spans="2:10" x14ac:dyDescent="0.3">
      <c r="B6" s="2" t="s">
        <v>31</v>
      </c>
      <c r="C6" s="46">
        <f>'Disponibilidad intrínseca'!F5</f>
        <v>0.98913043478260876</v>
      </c>
      <c r="D6" s="2">
        <v>3</v>
      </c>
      <c r="E6" s="28">
        <f>10/60</f>
        <v>0.16666666666666666</v>
      </c>
      <c r="F6" s="28">
        <f>2+39/60+21/3600</f>
        <v>2.6558333333333333</v>
      </c>
      <c r="G6" s="2">
        <f>7+51/60</f>
        <v>7.85</v>
      </c>
      <c r="I6" s="28">
        <f>D6*20</f>
        <v>60</v>
      </c>
      <c r="J6" s="28">
        <f t="shared" ref="J6:J10" si="0">I6/60</f>
        <v>1</v>
      </c>
    </row>
    <row r="7" spans="2:10" x14ac:dyDescent="0.3">
      <c r="B7" s="2" t="s">
        <v>98</v>
      </c>
      <c r="C7" s="46">
        <f>'Disponibilidad intrínseca'!F6</f>
        <v>1</v>
      </c>
      <c r="D7" s="2">
        <f>5</f>
        <v>5</v>
      </c>
      <c r="E7" s="2">
        <v>1</v>
      </c>
      <c r="F7" s="28">
        <f>33/60+15/3600</f>
        <v>0.5541666666666667</v>
      </c>
      <c r="G7" s="28">
        <f>3+20/60</f>
        <v>3.3333333333333335</v>
      </c>
      <c r="I7" s="28">
        <f>D7*20</f>
        <v>100</v>
      </c>
      <c r="J7" s="28">
        <f t="shared" si="0"/>
        <v>1.6666666666666667</v>
      </c>
    </row>
    <row r="8" spans="2:10" x14ac:dyDescent="0.3">
      <c r="B8" s="2" t="s">
        <v>15</v>
      </c>
      <c r="C8" s="46">
        <f>'Disponibilidad intrínseca'!F7</f>
        <v>0.99429347826086945</v>
      </c>
      <c r="D8" s="2">
        <v>2</v>
      </c>
      <c r="E8" s="28">
        <f>10/60</f>
        <v>0.16666666666666666</v>
      </c>
      <c r="F8" s="28">
        <f>25/60</f>
        <v>0.41666666666666669</v>
      </c>
      <c r="G8" s="28">
        <f>3+20/60</f>
        <v>3.3333333333333335</v>
      </c>
      <c r="I8" s="28">
        <f>D8*20</f>
        <v>40</v>
      </c>
      <c r="J8" s="28">
        <f t="shared" si="0"/>
        <v>0.66666666666666663</v>
      </c>
    </row>
    <row r="9" spans="2:10" x14ac:dyDescent="0.3">
      <c r="B9" s="2" t="s">
        <v>33</v>
      </c>
      <c r="C9" s="46">
        <f>'Disponibilidad intrínseca'!F8</f>
        <v>0.99891304347826082</v>
      </c>
      <c r="D9" s="28">
        <f>1/60</f>
        <v>1.6666666666666666E-2</v>
      </c>
      <c r="E9" s="28">
        <f>1/60</f>
        <v>1.6666666666666666E-2</v>
      </c>
      <c r="F9" s="28">
        <f>13/60+55/3600</f>
        <v>0.23194444444444445</v>
      </c>
      <c r="G9" s="28">
        <f>4/60+51/3600</f>
        <v>8.0833333333333326E-2</v>
      </c>
      <c r="I9" s="28">
        <f>D9*20</f>
        <v>0.33333333333333331</v>
      </c>
      <c r="J9" s="28">
        <f t="shared" si="0"/>
        <v>5.5555555555555549E-3</v>
      </c>
    </row>
    <row r="10" spans="2:10" x14ac:dyDescent="0.3">
      <c r="B10" s="2" t="s">
        <v>16</v>
      </c>
      <c r="C10" s="46">
        <f>'Disponibilidad intrínseca'!F9</f>
        <v>1</v>
      </c>
      <c r="D10" s="2">
        <f>30/60</f>
        <v>0.5</v>
      </c>
      <c r="E10" s="28">
        <f>5/60</f>
        <v>8.3333333333333329E-2</v>
      </c>
      <c r="F10" s="28">
        <f>14/60+43/3600</f>
        <v>0.24527777777777779</v>
      </c>
      <c r="G10" s="28">
        <f>15/60+10/3600</f>
        <v>0.25277777777777777</v>
      </c>
      <c r="I10" s="28">
        <f>D10*20</f>
        <v>10</v>
      </c>
      <c r="J10" s="28">
        <f t="shared" si="0"/>
        <v>0.16666666666666666</v>
      </c>
    </row>
    <row r="11" spans="2:10" x14ac:dyDescent="0.3">
      <c r="B11" s="13"/>
      <c r="F11" s="84" t="s">
        <v>22</v>
      </c>
      <c r="G11" s="84"/>
      <c r="I11" s="55" t="s">
        <v>134</v>
      </c>
      <c r="J11" s="54">
        <f>SUM(J5:J10)</f>
        <v>6.0055555555555564</v>
      </c>
    </row>
    <row r="12" spans="2:10" x14ac:dyDescent="0.3">
      <c r="B12" s="59" t="s">
        <v>119</v>
      </c>
      <c r="E12" s="47" t="s">
        <v>119</v>
      </c>
      <c r="F12" s="28">
        <f>SUM(F5:F10)</f>
        <v>4.28</v>
      </c>
      <c r="G12" s="28">
        <f>SUM(G5:G10)</f>
        <v>17.358611111111109</v>
      </c>
      <c r="I12" s="56" t="s">
        <v>133</v>
      </c>
      <c r="J12" s="39">
        <v>9000</v>
      </c>
    </row>
    <row r="13" spans="2:10" x14ac:dyDescent="0.3">
      <c r="B13" s="59" t="s">
        <v>120</v>
      </c>
      <c r="E13" s="47" t="s">
        <v>120</v>
      </c>
      <c r="F13" s="28">
        <f>F12/3</f>
        <v>1.4266666666666667</v>
      </c>
      <c r="G13" s="28">
        <f>G12/3</f>
        <v>5.7862037037037028</v>
      </c>
      <c r="I13" s="57" t="s">
        <v>135</v>
      </c>
      <c r="J13" s="39">
        <f>J12*J11/40</f>
        <v>1351.2500000000002</v>
      </c>
    </row>
    <row r="14" spans="2:10" x14ac:dyDescent="0.3">
      <c r="B14" s="59" t="s">
        <v>68</v>
      </c>
      <c r="E14" s="47" t="s">
        <v>68</v>
      </c>
      <c r="F14" s="28">
        <f>F13*240</f>
        <v>342.40000000000003</v>
      </c>
      <c r="G14" s="28">
        <f>G13*240</f>
        <v>1388.6888888888886</v>
      </c>
    </row>
  </sheetData>
  <mergeCells count="4">
    <mergeCell ref="F3:G3"/>
    <mergeCell ref="B3:E3"/>
    <mergeCell ref="F11:G11"/>
    <mergeCell ref="I2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2E64-AF7E-4F66-9426-B564251E88AF}">
  <dimension ref="B2:O32"/>
  <sheetViews>
    <sheetView topLeftCell="A23" zoomScale="85" zoomScaleNormal="145" workbookViewId="0">
      <selection activeCell="G16" sqref="G16"/>
    </sheetView>
  </sheetViews>
  <sheetFormatPr baseColWidth="10" defaultColWidth="8.88671875" defaultRowHeight="14.4" x14ac:dyDescent="0.3"/>
  <cols>
    <col min="2" max="2" width="14.109375" bestFit="1" customWidth="1"/>
    <col min="3" max="3" width="32.33203125" customWidth="1"/>
    <col min="4" max="4" width="18.5546875" bestFit="1" customWidth="1"/>
    <col min="5" max="5" width="19.5546875" bestFit="1" customWidth="1"/>
    <col min="6" max="6" width="13.6640625" bestFit="1" customWidth="1"/>
    <col min="7" max="7" width="11.6640625" customWidth="1"/>
    <col min="8" max="8" width="12.33203125" customWidth="1"/>
    <col min="9" max="9" width="16" customWidth="1"/>
    <col min="10" max="10" width="15.6640625" customWidth="1"/>
    <col min="11" max="11" width="30.88671875" bestFit="1" customWidth="1"/>
    <col min="13" max="13" width="14.44140625" customWidth="1"/>
    <col min="14" max="14" width="17.109375" bestFit="1" customWidth="1"/>
  </cols>
  <sheetData>
    <row r="2" spans="2:15" ht="19.2" customHeight="1" x14ac:dyDescent="0.3">
      <c r="B2" s="72" t="s">
        <v>34</v>
      </c>
      <c r="C2" s="72"/>
      <c r="D2" s="72"/>
      <c r="E2" s="72"/>
      <c r="F2" s="72"/>
    </row>
    <row r="3" spans="2:15" x14ac:dyDescent="0.3">
      <c r="B3" s="17" t="s">
        <v>13</v>
      </c>
      <c r="C3" s="17" t="s">
        <v>51</v>
      </c>
      <c r="D3" s="17" t="s">
        <v>60</v>
      </c>
      <c r="E3" s="17" t="s">
        <v>61</v>
      </c>
      <c r="F3" s="17" t="s">
        <v>17</v>
      </c>
      <c r="I3" s="32" t="s">
        <v>59</v>
      </c>
      <c r="K3" s="35"/>
      <c r="L3" s="36" t="s">
        <v>68</v>
      </c>
    </row>
    <row r="4" spans="2:15" ht="28.8" x14ac:dyDescent="0.3">
      <c r="B4" s="21" t="s">
        <v>30</v>
      </c>
      <c r="C4" s="20" t="s">
        <v>36</v>
      </c>
      <c r="D4" s="25">
        <f>('Demanda y tiempos'!$D$15-(M13*240+M14*52+M15*4+M16*2+M17))/(240+52+4+2+1)</f>
        <v>5.7892976588628766</v>
      </c>
      <c r="E4" s="25">
        <f>(M13*240+M14*52+M15*4+M16*2+M17)/(240+52+4+2+1)</f>
        <v>0.36454849498327757</v>
      </c>
      <c r="F4" s="16">
        <f>D4/(D4+E4)</f>
        <v>0.94076086956521743</v>
      </c>
      <c r="I4" s="23">
        <f>E4*60</f>
        <v>21.872909698996654</v>
      </c>
      <c r="K4" s="2" t="s">
        <v>70</v>
      </c>
      <c r="L4" s="28">
        <f>N17+N20+N27</f>
        <v>129.5</v>
      </c>
    </row>
    <row r="5" spans="2:15" x14ac:dyDescent="0.3">
      <c r="B5" s="22" t="s">
        <v>31</v>
      </c>
      <c r="C5" s="1" t="s">
        <v>47</v>
      </c>
      <c r="D5" s="25">
        <f>('Demanda y tiempos'!D15-M20*240)/240</f>
        <v>7.583333333333333</v>
      </c>
      <c r="E5" s="25">
        <f>M20</f>
        <v>8.3333333333333329E-2</v>
      </c>
      <c r="F5" s="16">
        <f>D5/(D5+E5)</f>
        <v>0.98913043478260876</v>
      </c>
      <c r="G5" s="19"/>
      <c r="I5" s="23">
        <f t="shared" ref="I5:I9" si="0">E5*60</f>
        <v>5</v>
      </c>
    </row>
    <row r="6" spans="2:15" x14ac:dyDescent="0.3">
      <c r="B6" s="21" t="s">
        <v>32</v>
      </c>
      <c r="C6" s="26" t="s">
        <v>45</v>
      </c>
      <c r="D6" s="1" t="s">
        <v>50</v>
      </c>
      <c r="E6" s="1" t="s">
        <v>50</v>
      </c>
      <c r="F6" s="16">
        <v>1</v>
      </c>
      <c r="I6" s="23" t="e">
        <f t="shared" si="0"/>
        <v>#VALUE!</v>
      </c>
    </row>
    <row r="7" spans="2:15" x14ac:dyDescent="0.3">
      <c r="B7" s="22" t="s">
        <v>15</v>
      </c>
      <c r="C7" s="1" t="s">
        <v>158</v>
      </c>
      <c r="D7" s="25">
        <f>('Demanda y tiempos'!D15-(M23*5+M24*2+M25*2+M26+M27))/(5+2+2+1+1)</f>
        <v>166.31818181818181</v>
      </c>
      <c r="E7" s="25">
        <f>(M23*5+M24*2+M25*2+M26+M27)/(5+2+2+1+1)</f>
        <v>0.95454545454545459</v>
      </c>
      <c r="F7" s="16">
        <f>D7/(D7+E7)</f>
        <v>0.99429347826086945</v>
      </c>
      <c r="I7" s="23">
        <f t="shared" si="0"/>
        <v>57.272727272727273</v>
      </c>
    </row>
    <row r="8" spans="2:15" x14ac:dyDescent="0.3">
      <c r="B8" s="22" t="s">
        <v>33</v>
      </c>
      <c r="C8" s="1" t="s">
        <v>94</v>
      </c>
      <c r="D8" s="1">
        <f>('Demanda y tiempos'!D15-M30*2)/2</f>
        <v>919</v>
      </c>
      <c r="E8" s="1">
        <f>2*M30/2</f>
        <v>1</v>
      </c>
      <c r="F8" s="16">
        <f>D8/(D8+E8)</f>
        <v>0.99891304347826082</v>
      </c>
      <c r="I8" s="23">
        <f t="shared" si="0"/>
        <v>60</v>
      </c>
    </row>
    <row r="9" spans="2:15" x14ac:dyDescent="0.3">
      <c r="B9" s="22" t="s">
        <v>16</v>
      </c>
      <c r="C9" s="1" t="s">
        <v>45</v>
      </c>
      <c r="D9" s="1" t="s">
        <v>50</v>
      </c>
      <c r="E9" s="1" t="s">
        <v>50</v>
      </c>
      <c r="F9" s="16">
        <v>1</v>
      </c>
      <c r="I9" s="23" t="e">
        <f t="shared" si="0"/>
        <v>#VALUE!</v>
      </c>
    </row>
    <row r="10" spans="2:15" x14ac:dyDescent="0.3">
      <c r="N10" s="62" t="s">
        <v>69</v>
      </c>
      <c r="O10" s="62"/>
    </row>
    <row r="11" spans="2:15" x14ac:dyDescent="0.3">
      <c r="B11" s="19"/>
      <c r="H11" s="75" t="s">
        <v>38</v>
      </c>
      <c r="I11" s="75"/>
      <c r="J11" s="75"/>
      <c r="K11" s="75"/>
      <c r="L11" s="75"/>
      <c r="M11" s="75"/>
      <c r="N11" t="s">
        <v>68</v>
      </c>
      <c r="O11" t="s">
        <v>67</v>
      </c>
    </row>
    <row r="12" spans="2:15" ht="31.2" customHeight="1" x14ac:dyDescent="0.3">
      <c r="B12" s="19"/>
      <c r="H12" s="74" t="s">
        <v>37</v>
      </c>
      <c r="I12" s="74"/>
      <c r="J12" s="74"/>
      <c r="K12" s="74"/>
      <c r="L12" s="74"/>
      <c r="M12" s="30" t="s">
        <v>49</v>
      </c>
    </row>
    <row r="13" spans="2:15" ht="32.4" customHeight="1" x14ac:dyDescent="0.3">
      <c r="B13" s="80" t="s">
        <v>35</v>
      </c>
      <c r="C13" s="80"/>
      <c r="D13" s="80"/>
      <c r="E13" s="80"/>
      <c r="F13" s="4"/>
      <c r="H13" s="73" t="s">
        <v>39</v>
      </c>
      <c r="I13" s="73"/>
      <c r="J13" s="73"/>
      <c r="K13" s="73"/>
      <c r="L13" s="73"/>
      <c r="M13" s="28">
        <f>10/60</f>
        <v>0.16666666666666666</v>
      </c>
    </row>
    <row r="14" spans="2:15" ht="33.6" customHeight="1" x14ac:dyDescent="0.3">
      <c r="B14" s="3"/>
      <c r="H14" s="73" t="s">
        <v>40</v>
      </c>
      <c r="I14" s="73"/>
      <c r="J14" s="73"/>
      <c r="K14" s="73"/>
      <c r="L14" s="73"/>
      <c r="M14" s="28">
        <v>1</v>
      </c>
    </row>
    <row r="15" spans="2:15" ht="44.4" customHeight="1" x14ac:dyDescent="0.3">
      <c r="B15" s="19"/>
      <c r="H15" s="73" t="s">
        <v>46</v>
      </c>
      <c r="I15" s="73"/>
      <c r="J15" s="73"/>
      <c r="K15" s="73"/>
      <c r="L15" s="73"/>
      <c r="M15" s="28">
        <v>2</v>
      </c>
    </row>
    <row r="16" spans="2:15" ht="73.95" customHeight="1" x14ac:dyDescent="0.3">
      <c r="C16" s="18"/>
      <c r="D16" s="18"/>
      <c r="E16" s="18"/>
      <c r="H16" s="73" t="s">
        <v>41</v>
      </c>
      <c r="I16" s="73"/>
      <c r="J16" s="73"/>
      <c r="K16" s="73"/>
      <c r="L16" s="73"/>
      <c r="M16" s="28">
        <v>3</v>
      </c>
    </row>
    <row r="17" spans="2:15" ht="54.6" customHeight="1" x14ac:dyDescent="0.3">
      <c r="B17" s="18"/>
      <c r="C17" s="18"/>
      <c r="D17" s="18"/>
      <c r="E17" s="18"/>
      <c r="H17" s="73" t="s">
        <v>42</v>
      </c>
      <c r="I17" s="73"/>
      <c r="J17" s="73"/>
      <c r="K17" s="73"/>
      <c r="L17" s="73"/>
      <c r="M17" s="29">
        <v>3</v>
      </c>
      <c r="N17">
        <f>M13*240+M14*52+M15*4+M16*2+M17</f>
        <v>109</v>
      </c>
      <c r="O17">
        <f>5*N17</f>
        <v>545</v>
      </c>
    </row>
    <row r="18" spans="2:15" x14ac:dyDescent="0.3">
      <c r="H18" s="75" t="s">
        <v>14</v>
      </c>
      <c r="I18" s="75"/>
      <c r="J18" s="75"/>
      <c r="K18" s="75"/>
      <c r="L18" s="75"/>
      <c r="M18" s="75"/>
    </row>
    <row r="19" spans="2:15" ht="28.8" x14ac:dyDescent="0.3">
      <c r="H19" s="79" t="s">
        <v>48</v>
      </c>
      <c r="I19" s="79"/>
      <c r="J19" s="79"/>
      <c r="K19" s="79"/>
      <c r="L19" s="79"/>
      <c r="M19" s="30" t="s">
        <v>49</v>
      </c>
    </row>
    <row r="20" spans="2:15" x14ac:dyDescent="0.3">
      <c r="H20" s="76" t="s">
        <v>53</v>
      </c>
      <c r="I20" s="77"/>
      <c r="J20" s="77"/>
      <c r="K20" s="77"/>
      <c r="L20" s="78"/>
      <c r="M20" s="31">
        <f>5/60</f>
        <v>8.3333333333333329E-2</v>
      </c>
      <c r="N20" s="24">
        <f>M20*240</f>
        <v>20</v>
      </c>
      <c r="O20">
        <f>N20*5</f>
        <v>100</v>
      </c>
    </row>
    <row r="21" spans="2:15" x14ac:dyDescent="0.3">
      <c r="H21" s="75" t="s">
        <v>52</v>
      </c>
      <c r="I21" s="75"/>
      <c r="J21" s="75"/>
      <c r="K21" s="75"/>
      <c r="L21" s="75"/>
      <c r="M21" s="75"/>
    </row>
    <row r="22" spans="2:15" ht="28.8" x14ac:dyDescent="0.3">
      <c r="H22" s="74" t="s">
        <v>28</v>
      </c>
      <c r="I22" s="74"/>
      <c r="J22" s="74"/>
      <c r="K22" s="74"/>
      <c r="L22" s="74"/>
      <c r="M22" s="30" t="s">
        <v>49</v>
      </c>
    </row>
    <row r="23" spans="2:15" x14ac:dyDescent="0.3">
      <c r="G23" s="27"/>
      <c r="H23" s="73" t="s">
        <v>54</v>
      </c>
      <c r="I23" s="73"/>
      <c r="J23" s="73"/>
      <c r="K23" s="73"/>
      <c r="L23" s="73"/>
      <c r="M23" s="28">
        <v>0.5</v>
      </c>
    </row>
    <row r="24" spans="2:15" ht="16.95" customHeight="1" x14ac:dyDescent="0.3">
      <c r="H24" s="73" t="s">
        <v>55</v>
      </c>
      <c r="I24" s="73"/>
      <c r="J24" s="73"/>
      <c r="K24" s="73"/>
      <c r="L24" s="73"/>
      <c r="M24" s="28">
        <v>1</v>
      </c>
    </row>
    <row r="25" spans="2:15" x14ac:dyDescent="0.3">
      <c r="G25" s="27"/>
      <c r="H25" s="73" t="s">
        <v>57</v>
      </c>
      <c r="I25" s="73"/>
      <c r="J25" s="73"/>
      <c r="K25" s="73"/>
      <c r="L25" s="73"/>
      <c r="M25" s="28">
        <v>0.5</v>
      </c>
    </row>
    <row r="26" spans="2:15" x14ac:dyDescent="0.3">
      <c r="H26" s="73" t="s">
        <v>58</v>
      </c>
      <c r="I26" s="73"/>
      <c r="J26" s="73"/>
      <c r="K26" s="73"/>
      <c r="L26" s="73"/>
      <c r="M26" s="28">
        <v>2</v>
      </c>
    </row>
    <row r="27" spans="2:15" x14ac:dyDescent="0.3">
      <c r="G27" s="27"/>
      <c r="H27" s="73" t="s">
        <v>56</v>
      </c>
      <c r="I27" s="73"/>
      <c r="J27" s="73"/>
      <c r="K27" s="73"/>
      <c r="L27" s="73"/>
      <c r="M27" s="28">
        <v>3</v>
      </c>
      <c r="N27" s="24">
        <f>M23</f>
        <v>0.5</v>
      </c>
      <c r="O27">
        <f>M23*5+M24*2+M25*2+M26+M27</f>
        <v>10.5</v>
      </c>
    </row>
    <row r="28" spans="2:15" ht="15" customHeight="1" x14ac:dyDescent="0.3">
      <c r="H28" s="82" t="s">
        <v>95</v>
      </c>
      <c r="I28" s="82"/>
      <c r="J28" s="82"/>
      <c r="K28" s="82"/>
      <c r="L28" s="82"/>
      <c r="M28" s="82"/>
    </row>
    <row r="29" spans="2:15" x14ac:dyDescent="0.3">
      <c r="H29" s="74" t="s">
        <v>93</v>
      </c>
      <c r="I29" s="74"/>
      <c r="J29" s="74"/>
      <c r="K29" s="74"/>
      <c r="L29" s="74"/>
      <c r="M29" s="74"/>
    </row>
    <row r="30" spans="2:15" ht="30" customHeight="1" x14ac:dyDescent="0.3">
      <c r="H30" s="2" t="s">
        <v>97</v>
      </c>
      <c r="I30" s="81" t="s">
        <v>96</v>
      </c>
      <c r="J30" s="81"/>
      <c r="K30" s="81"/>
      <c r="L30" s="81"/>
      <c r="M30" s="2">
        <v>1</v>
      </c>
    </row>
    <row r="32" spans="2:15" x14ac:dyDescent="0.3">
      <c r="B32" s="3"/>
    </row>
  </sheetData>
  <mergeCells count="23">
    <mergeCell ref="I30:L30"/>
    <mergeCell ref="H28:M28"/>
    <mergeCell ref="H29:M29"/>
    <mergeCell ref="N10:O10"/>
    <mergeCell ref="H11:M11"/>
    <mergeCell ref="H18:M18"/>
    <mergeCell ref="H19:L19"/>
    <mergeCell ref="B13:E13"/>
    <mergeCell ref="H12:L12"/>
    <mergeCell ref="H13:L13"/>
    <mergeCell ref="H14:L14"/>
    <mergeCell ref="H15:L15"/>
    <mergeCell ref="B2:F2"/>
    <mergeCell ref="H26:L26"/>
    <mergeCell ref="H27:L27"/>
    <mergeCell ref="H22:L22"/>
    <mergeCell ref="H16:L16"/>
    <mergeCell ref="H17:L17"/>
    <mergeCell ref="H21:M21"/>
    <mergeCell ref="H23:L23"/>
    <mergeCell ref="H25:L25"/>
    <mergeCell ref="H24:L24"/>
    <mergeCell ref="H20:L20"/>
  </mergeCells>
  <hyperlinks>
    <hyperlink ref="H12" r:id="rId1" display="https://www.upkeep.com/learning/preventive-maintenance-on-cnc-machines/" xr:uid="{FF12F376-A281-4CE1-9C97-1DA898545F41}"/>
    <hyperlink ref="H19" r:id="rId2" display="https://www.educarex.es/pub/cont/com/0055/documentos/10_Informaci%C3%B3n/07_Herramientas/La_lijadora.pdf" xr:uid="{51D47812-E049-4C83-8178-8A8BC360AA3B}"/>
    <hyperlink ref="H22" r:id="rId3" display="https://www.dempro.co/post/cada-cuanto-se-deben-hacer-los-mantenimientos-en-los-robots-kuka" xr:uid="{E5ED33CE-5ADE-436D-98F9-DEBC96E2836D}"/>
    <hyperlink ref="H29" r:id="rId4" location=":~:text=Entre%20500%20y%203000%20km%20recorridos%20semanales%20es%20considerable%20realizar%20el%20mantenimiento." xr:uid="{A3142AAB-1573-47F8-9FD9-F82EC76F298E}"/>
  </hyperlinks>
  <pageMargins left="0.7" right="0.7" top="0.75" bottom="0.75" header="0.3" footer="0.3"/>
  <pageSetup orientation="portrait" horizontalDpi="90" verticalDpi="9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E2FD-B3A3-4061-BD53-1BDCD39A482D}">
  <dimension ref="B17:L35"/>
  <sheetViews>
    <sheetView zoomScale="115" zoomScaleNormal="115" workbookViewId="0">
      <selection activeCell="J25" sqref="J25"/>
    </sheetView>
  </sheetViews>
  <sheetFormatPr baseColWidth="10" defaultColWidth="9.109375" defaultRowHeight="14.4" x14ac:dyDescent="0.3"/>
  <cols>
    <col min="2" max="2" width="32.6640625" bestFit="1" customWidth="1"/>
    <col min="3" max="3" width="7.88671875" hidden="1" customWidth="1"/>
    <col min="4" max="4" width="7.33203125" hidden="1" customWidth="1"/>
    <col min="8" max="8" width="25.5546875" bestFit="1" customWidth="1"/>
    <col min="9" max="9" width="11.109375" bestFit="1" customWidth="1"/>
    <col min="11" max="11" width="24.5546875" bestFit="1" customWidth="1"/>
  </cols>
  <sheetData>
    <row r="17" spans="2:12" x14ac:dyDescent="0.3">
      <c r="B17" s="83" t="s">
        <v>77</v>
      </c>
      <c r="C17" s="83"/>
      <c r="D17" s="83"/>
      <c r="E17" s="83"/>
      <c r="H17" s="86" t="s">
        <v>78</v>
      </c>
      <c r="I17" s="87"/>
      <c r="K17" s="83" t="s">
        <v>126</v>
      </c>
      <c r="L17" s="83"/>
    </row>
    <row r="18" spans="2:12" x14ac:dyDescent="0.3">
      <c r="B18" s="34" t="s">
        <v>73</v>
      </c>
      <c r="C18" s="35" t="s">
        <v>65</v>
      </c>
      <c r="D18" s="35" t="s">
        <v>66</v>
      </c>
      <c r="E18" s="36" t="s">
        <v>68</v>
      </c>
      <c r="H18" s="34" t="s">
        <v>73</v>
      </c>
      <c r="I18" s="34" t="s">
        <v>68</v>
      </c>
      <c r="K18" s="40"/>
      <c r="L18" s="35" t="s">
        <v>122</v>
      </c>
    </row>
    <row r="19" spans="2:12" x14ac:dyDescent="0.3">
      <c r="B19" s="2" t="s">
        <v>62</v>
      </c>
      <c r="C19" s="28">
        <f>'Demanda y tiempos'!D14</f>
        <v>7.666666666666667</v>
      </c>
      <c r="D19" s="28">
        <f>C19*20</f>
        <v>153.33333333333334</v>
      </c>
      <c r="E19" s="2">
        <f>D19*12</f>
        <v>1840</v>
      </c>
      <c r="H19" s="2" t="s">
        <v>71</v>
      </c>
      <c r="I19" s="28">
        <f>E23</f>
        <v>1368.1</v>
      </c>
      <c r="K19" s="2" t="s">
        <v>160</v>
      </c>
      <c r="L19" s="2">
        <v>750</v>
      </c>
    </row>
    <row r="20" spans="2:12" x14ac:dyDescent="0.3">
      <c r="B20" s="2" t="s">
        <v>63</v>
      </c>
      <c r="C20" s="2"/>
      <c r="D20" s="2"/>
      <c r="E20" s="28">
        <f>'Disponibilidad intrínseca'!L4</f>
        <v>129.5</v>
      </c>
      <c r="H20" s="2" t="s">
        <v>159</v>
      </c>
      <c r="I20" s="45">
        <v>0.9</v>
      </c>
      <c r="K20" s="2" t="s">
        <v>121</v>
      </c>
      <c r="L20" s="2">
        <f>0.1*L19</f>
        <v>75</v>
      </c>
    </row>
    <row r="21" spans="2:12" x14ac:dyDescent="0.3">
      <c r="B21" s="2" t="s">
        <v>64</v>
      </c>
      <c r="C21" s="2"/>
      <c r="D21" s="2"/>
      <c r="E21" s="2">
        <f>240*'Procesos-VSM'!F13</f>
        <v>342.40000000000003</v>
      </c>
      <c r="H21" s="2" t="s">
        <v>76</v>
      </c>
      <c r="I21" s="28">
        <f>'Procesos-VSM'!J13</f>
        <v>1351.2500000000002</v>
      </c>
      <c r="K21" s="38" t="s">
        <v>125</v>
      </c>
      <c r="L21" s="60">
        <f>(L19-L20)/L19</f>
        <v>0.9</v>
      </c>
    </row>
    <row r="22" spans="2:12" x14ac:dyDescent="0.3">
      <c r="B22" s="37" t="s">
        <v>72</v>
      </c>
      <c r="C22" s="2"/>
      <c r="D22" s="2"/>
      <c r="E22" s="28">
        <f>E19-E20</f>
        <v>1710.5</v>
      </c>
      <c r="H22" s="2" t="s">
        <v>75</v>
      </c>
      <c r="I22" s="28">
        <f>'Procesos-VSM'!G14</f>
        <v>1388.6888888888886</v>
      </c>
    </row>
    <row r="23" spans="2:12" x14ac:dyDescent="0.3">
      <c r="B23" s="37" t="s">
        <v>71</v>
      </c>
      <c r="C23" s="2"/>
      <c r="D23" s="2"/>
      <c r="E23" s="28">
        <f>E22-E21</f>
        <v>1368.1</v>
      </c>
      <c r="H23" s="37" t="s">
        <v>79</v>
      </c>
      <c r="I23" s="49">
        <f>(I20*I22)/I19</f>
        <v>0.91354433155471071</v>
      </c>
    </row>
    <row r="24" spans="2:12" x14ac:dyDescent="0.3">
      <c r="B24" s="38" t="s">
        <v>124</v>
      </c>
      <c r="C24" s="39"/>
      <c r="D24" s="39"/>
      <c r="E24" s="50">
        <f>E23/E22</f>
        <v>0.79982461268634897</v>
      </c>
      <c r="H24" s="37" t="s">
        <v>80</v>
      </c>
      <c r="I24" s="49">
        <f>I21/I22</f>
        <v>0.9730401177769602</v>
      </c>
    </row>
    <row r="25" spans="2:12" x14ac:dyDescent="0.3">
      <c r="H25" s="38" t="s">
        <v>81</v>
      </c>
      <c r="I25" s="50">
        <f>I23*I24</f>
        <v>0.88891528397047004</v>
      </c>
    </row>
    <row r="34" spans="2:5" x14ac:dyDescent="0.3">
      <c r="B34" s="33"/>
    </row>
    <row r="35" spans="2:5" x14ac:dyDescent="0.3">
      <c r="B35" s="38" t="s">
        <v>123</v>
      </c>
      <c r="C35" s="50">
        <f>E24*I25*L21</f>
        <v>0.63987869044139145</v>
      </c>
      <c r="D35" s="51"/>
      <c r="E35" s="52">
        <f>E24*I25*L21</f>
        <v>0.63987869044139145</v>
      </c>
    </row>
  </sheetData>
  <mergeCells count="3">
    <mergeCell ref="B17:E17"/>
    <mergeCell ref="H17:I17"/>
    <mergeCell ref="K17:L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AFC5-3E91-4960-BB47-6EF068D612D3}">
  <dimension ref="B2:E8"/>
  <sheetViews>
    <sheetView zoomScale="145" zoomScaleNormal="145" workbookViewId="0">
      <selection activeCell="D11" sqref="D11"/>
    </sheetView>
  </sheetViews>
  <sheetFormatPr baseColWidth="10" defaultRowHeight="14.4" x14ac:dyDescent="0.3"/>
  <cols>
    <col min="4" max="4" width="15.21875" bestFit="1" customWidth="1"/>
    <col min="5" max="5" width="18.88671875" bestFit="1" customWidth="1"/>
  </cols>
  <sheetData>
    <row r="2" spans="2:5" x14ac:dyDescent="0.3">
      <c r="B2" s="36" t="s">
        <v>19</v>
      </c>
      <c r="C2" s="36" t="s">
        <v>138</v>
      </c>
      <c r="D2" s="36" t="s">
        <v>139</v>
      </c>
      <c r="E2" s="36" t="s">
        <v>154</v>
      </c>
    </row>
    <row r="3" spans="2:5" x14ac:dyDescent="0.3">
      <c r="B3" s="88" t="s">
        <v>0</v>
      </c>
      <c r="C3" s="88" t="s">
        <v>140</v>
      </c>
      <c r="D3" s="1" t="s">
        <v>136</v>
      </c>
      <c r="E3" s="1" t="s">
        <v>152</v>
      </c>
    </row>
    <row r="4" spans="2:5" x14ac:dyDescent="0.3">
      <c r="B4" s="89"/>
      <c r="C4" s="89"/>
      <c r="D4" s="1" t="s">
        <v>137</v>
      </c>
      <c r="E4" s="1" t="s">
        <v>153</v>
      </c>
    </row>
    <row r="5" spans="2:5" x14ac:dyDescent="0.3">
      <c r="B5" s="88" t="s">
        <v>141</v>
      </c>
      <c r="C5" s="88" t="s">
        <v>142</v>
      </c>
      <c r="D5" s="1" t="s">
        <v>143</v>
      </c>
      <c r="E5" s="1" t="s">
        <v>148</v>
      </c>
    </row>
    <row r="6" spans="2:5" x14ac:dyDescent="0.3">
      <c r="B6" s="89"/>
      <c r="C6" s="89"/>
      <c r="D6" s="1" t="s">
        <v>144</v>
      </c>
      <c r="E6" s="1" t="s">
        <v>149</v>
      </c>
    </row>
    <row r="7" spans="2:5" x14ac:dyDescent="0.3">
      <c r="B7" s="88" t="s">
        <v>2</v>
      </c>
      <c r="C7" s="88" t="s">
        <v>145</v>
      </c>
      <c r="D7" s="1" t="s">
        <v>146</v>
      </c>
      <c r="E7" s="1" t="s">
        <v>150</v>
      </c>
    </row>
    <row r="8" spans="2:5" x14ac:dyDescent="0.3">
      <c r="B8" s="89"/>
      <c r="C8" s="89"/>
      <c r="D8" s="1" t="s">
        <v>147</v>
      </c>
      <c r="E8" s="1" t="s">
        <v>151</v>
      </c>
    </row>
  </sheetData>
  <mergeCells count="6">
    <mergeCell ref="B3:B4"/>
    <mergeCell ref="B5:B6"/>
    <mergeCell ref="B7:B8"/>
    <mergeCell ref="C3:C4"/>
    <mergeCell ref="C5:C6"/>
    <mergeCell ref="C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y tiempos</vt:lpstr>
      <vt:lpstr>Procesos-VSM</vt:lpstr>
      <vt:lpstr>Disponibilidad intrínseca</vt:lpstr>
      <vt:lpstr>OEE</vt:lpstr>
      <vt:lpstr>Hoja1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Ivanna Medina Cruz</dc:creator>
  <cp:lastModifiedBy>Ivanna Medina Cruz</cp:lastModifiedBy>
  <dcterms:created xsi:type="dcterms:W3CDTF">2023-03-10T15:59:22Z</dcterms:created>
  <dcterms:modified xsi:type="dcterms:W3CDTF">2023-05-31T16:20:41Z</dcterms:modified>
</cp:coreProperties>
</file>