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shkal\Downloads\"/>
    </mc:Choice>
  </mc:AlternateContent>
  <xr:revisionPtr revIDLastSave="0" documentId="13_ncr:1_{29B4DE40-6A83-434D-A46A-0165A8BDBDAA}" xr6:coauthVersionLast="47" xr6:coauthVersionMax="47" xr10:uidLastSave="{00000000-0000-0000-0000-000000000000}"/>
  <bookViews>
    <workbookView xWindow="-108" yWindow="-108" windowWidth="23256" windowHeight="12576" tabRatio="648" activeTab="9" xr2:uid="{00000000-000D-0000-FFFF-FFFF00000000}"/>
  </bookViews>
  <sheets>
    <sheet name="Inputs" sheetId="18" r:id="rId1"/>
    <sheet name="Income" sheetId="19" r:id="rId2"/>
    <sheet name="Interest Exp" sheetId="20" r:id="rId3"/>
    <sheet name="Fixed Assets" sheetId="22" r:id="rId4"/>
    <sheet name="Other Exp" sheetId="23" r:id="rId5"/>
    <sheet name="CAR" sheetId="21" r:id="rId6"/>
    <sheet name="Inc St" sheetId="24" r:id="rId7"/>
    <sheet name="Bal Sh" sheetId="25" r:id="rId8"/>
    <sheet name="CFS" sheetId="26" r:id="rId9"/>
    <sheet name="Ratios" sheetId="2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__1__123Graph_ACHART_3" hidden="1">'[1]Super Region'!$D$12:$D$14</definedName>
    <definedName name="___2__123Graph_ACHART_6" hidden="1">'[1]YTD Actual'!$D$13:$D$13</definedName>
    <definedName name="___3__123Graph_ACHART_9" hidden="1">[1]Region!$D$11:$D$26</definedName>
    <definedName name="___4__123Graph_BCHART_1" hidden="1">[2]SSDGrowth!$F$13:$F$24</definedName>
    <definedName name="___5__123Graph_BCHART_6" hidden="1">'[1]YTD Actual'!$D$12:$D$12</definedName>
    <definedName name="___a1" hidden="1">{#N/A,#N/A,TRUE,"Overall";#N/A,#N/A,TRUE,"Region Wise ";#N/A,#N/A,TRUE,"Client Wise"}</definedName>
    <definedName name="___q1" hidden="1">{#N/A,#N/A,TRUE,"Overall";#N/A,#N/A,TRUE,"Region Wise ";#N/A,#N/A,TRUE,"Client Wise"}</definedName>
    <definedName name="___thinkcellM0YAAAAAAAAAAAAAjjnNnTF8TkKLFpIfH6Pvxw" hidden="1">'[3]Monthly SOLD History'!#REF!</definedName>
    <definedName name="___thinkcellM0YAAAAAAAABAAAAWWVeXoploU29aICLpJlPOA" hidden="1">'[3]Monthly SOLD History'!#REF!</definedName>
    <definedName name="___x1" hidden="1">{#N/A,#N/A,TRUE,"Overall";#N/A,#N/A,TRUE,"Region Wise ";#N/A,#N/A,TRUE,"Client Wise"}</definedName>
    <definedName name="__1__123Graph_ACHART_3" hidden="1">'[1]Super Region'!$D$12:$D$14</definedName>
    <definedName name="__2__123Graph_ACHART_6" hidden="1">'[1]YTD Actual'!$D$13:$D$13</definedName>
    <definedName name="__3__123Graph_ACHART_9" hidden="1">[1]Region!$D$11:$D$26</definedName>
    <definedName name="__4__123Graph_BCHART_1" hidden="1">[2]SSDGrowth!$F$13:$F$24</definedName>
    <definedName name="__5__123Graph_BCHART_6" hidden="1">'[1]YTD Actual'!$D$12:$D$12</definedName>
    <definedName name="__a1" hidden="1">{#N/A,#N/A,TRUE,"Overall";#N/A,#N/A,TRUE,"Region Wise ";#N/A,#N/A,TRUE,"Client Wise"}</definedName>
    <definedName name="__q1" hidden="1">{#N/A,#N/A,TRUE,"Overall";#N/A,#N/A,TRUE,"Region Wise ";#N/A,#N/A,TRUE,"Client Wise"}</definedName>
    <definedName name="__x1" hidden="1">{#N/A,#N/A,TRUE,"Overall";#N/A,#N/A,TRUE,"Region Wise ";#N/A,#N/A,TRUE,"Client Wise"}</definedName>
    <definedName name="_1__123Graph_ACHART_3" hidden="1">'[1]Super Region'!$D$12:$D$14</definedName>
    <definedName name="_11__123Graph_ACHART_7" hidden="1">[4]Data_Summary!#REF!</definedName>
    <definedName name="_13__123Graph_ACHART_8" hidden="1">[4]Data_Summary!#REF!</definedName>
    <definedName name="_15__123Graph_ACHART_9" hidden="1">[4]Data_Detail!#REF!</definedName>
    <definedName name="_17__123Graph_BCHART_3" hidden="1">[4]Data_Detail!#REF!</definedName>
    <definedName name="_19__123Graph_BCHART_4" hidden="1">[4]Data_Detail!#REF!</definedName>
    <definedName name="_1Graph" hidden="1">'[1]Super Region'!$D$12:$D$14</definedName>
    <definedName name="_2__123Graph_ACHART_6" hidden="1">'[1]YTD Actual'!$D$13:$D$13</definedName>
    <definedName name="_21__123Graph_BCHART_5" hidden="1">[4]Data_Detail!#REF!</definedName>
    <definedName name="_23__123Graph_BCHART_6" hidden="1">[4]Data_Summary!#REF!</definedName>
    <definedName name="_25__123Graph_BCHART_7" hidden="1">[4]Data_Summary!#REF!</definedName>
    <definedName name="_27__123Graph_BCHART_8" hidden="1">[4]Data_Summary!#REF!</definedName>
    <definedName name="_29__123Graph_BCHART_9" hidden="1">[4]Data_Detail!#REF!</definedName>
    <definedName name="_2Graph" hidden="1">'[1]YTD Actual'!$D$13:$D$13</definedName>
    <definedName name="_3__123Graph_ACHART_3" hidden="1">[4]Data_Detail!#REF!</definedName>
    <definedName name="_3__123Graph_ACHART_9" hidden="1">[1]Region!$D$11:$D$26</definedName>
    <definedName name="_31__123Graph_CCHART_3" hidden="1">[4]Data_Detail!#REF!</definedName>
    <definedName name="_33__123Graph_CCHART_4" hidden="1">[4]Data_Detail!#REF!</definedName>
    <definedName name="_35__123Graph_CCHART_5" hidden="1">[4]Data_Detail!#REF!</definedName>
    <definedName name="_37__123Graph_CCHART_6" hidden="1">[4]Data_Summary!#REF!</definedName>
    <definedName name="_39__123Graph_CCHART_7" hidden="1">[4]Data_Summary!#REF!</definedName>
    <definedName name="_3Graph" hidden="1">[1]Region!$D$11:$D$26</definedName>
    <definedName name="_4__123Graph_BCHART_1" hidden="1">[2]SSDGrowth!$F$13:$F$24</definedName>
    <definedName name="_41__123Graph_CCHART_8" hidden="1">[4]Data_Summary!#REF!</definedName>
    <definedName name="_43__123Graph_CCHART_9" hidden="1">[4]Data_Detail!#REF!</definedName>
    <definedName name="_45__123Graph_DCHART_3" hidden="1">[4]Data_Detail!#REF!</definedName>
    <definedName name="_47__123Graph_DCHART_4" hidden="1">[4]Data_Detail!#REF!</definedName>
    <definedName name="_49__123Graph_DCHART_5" hidden="1">[4]Data_Detail!#REF!</definedName>
    <definedName name="_4Graph" hidden="1">[2]SSDGrowth!$F$13:$F$24</definedName>
    <definedName name="_5__123Graph_ACHART_4" hidden="1">[4]Data_Detail!#REF!</definedName>
    <definedName name="_5__123Graph_BCHART_6" hidden="1">'[1]YTD Actual'!$D$12:$D$12</definedName>
    <definedName name="_51__123Graph_DCHART_6" hidden="1">[4]Data_Summary!#REF!</definedName>
    <definedName name="_53__123Graph_DCHART_7" hidden="1">[4]Data_Summary!#REF!</definedName>
    <definedName name="_55__123Graph_DCHART_8" hidden="1">[4]Data_Summary!#REF!</definedName>
    <definedName name="_57__123Graph_DCHART_9" hidden="1">[4]Data_Detail!#REF!</definedName>
    <definedName name="_59__123Graph_ECHART_3" hidden="1">[4]Data_Detail!#REF!</definedName>
    <definedName name="_5Graph" hidden="1">'[1]YTD Actual'!$D$12:$D$12</definedName>
    <definedName name="_61__123Graph_ECHART_4" hidden="1">[4]Data_Detail!#REF!</definedName>
    <definedName name="_63__123Graph_ECHART_5" hidden="1">[4]Data_Detail!#REF!</definedName>
    <definedName name="_65__123Graph_ECHART_6" hidden="1">[4]Data_Summary!#REF!</definedName>
    <definedName name="_67__123Graph_ECHART_7" hidden="1">[4]Data_Summary!#REF!</definedName>
    <definedName name="_69__123Graph_ECHART_8" hidden="1">[4]Data_Summary!#REF!</definedName>
    <definedName name="_7__123Graph_ACHART_5" hidden="1">[4]Data_Detail!#REF!</definedName>
    <definedName name="_71__123Graph_ECHART_9" hidden="1">[4]Data_Detail!#REF!</definedName>
    <definedName name="_73__123Graph_FCHART_5" hidden="1">[4]Data_Detail!#REF!</definedName>
    <definedName name="_75__123Graph_FCHART_6" hidden="1">[4]Data_Summary!#REF!</definedName>
    <definedName name="_77__123Graph_FCHART_7" hidden="1">[4]Data_Summary!#REF!</definedName>
    <definedName name="_79__123Graph_FCHART_8" hidden="1">[4]Data_Summary!#REF!</definedName>
    <definedName name="_81__123Graph_XCHART_4" hidden="1">[4]Data_Detail!#REF!</definedName>
    <definedName name="_83__123Graph_XCHART_5" hidden="1">[4]Data_Detail!#REF!</definedName>
    <definedName name="_85__123Graph_XCHART_7" hidden="1">[4]Data_Summary!#REF!</definedName>
    <definedName name="_87__123Graph_XCHART_8" hidden="1">[4]Data_Summary!#REF!</definedName>
    <definedName name="_9__123Graph_ACHART_6" hidden="1">[4]Data_Summary!#REF!</definedName>
    <definedName name="_a1" hidden="1">{#N/A,#N/A,TRUE,"Overall";#N/A,#N/A,TRUE,"Region Wise ";#N/A,#N/A,TRUE,"Client Wise"}</definedName>
    <definedName name="_a2" hidden="1">{#N/A,#N/A,TRUE,"Overall";#N/A,#N/A,TRUE,"Region Wise ";#N/A,#N/A,TRUE,"Client Wise"}</definedName>
    <definedName name="_Fill" hidden="1">#REF!</definedName>
    <definedName name="_Key1" hidden="1">[1]TEMPLATE!$F$31</definedName>
    <definedName name="_Key1.1" hidden="1">#REF!</definedName>
    <definedName name="_Key1.2" hidden="1">#REF!</definedName>
    <definedName name="_Key1.3" hidden="1">#REF!</definedName>
    <definedName name="_Key2" hidden="1">[1]TEMPLATE!$A$31</definedName>
    <definedName name="_Order1" hidden="1">0</definedName>
    <definedName name="_Order2" hidden="1">0</definedName>
    <definedName name="_Parse_In" hidden="1">[1]TEMPLATE!$A$31:$H$388</definedName>
    <definedName name="_q1" hidden="1">{#N/A,#N/A,TRUE,"Overall";#N/A,#N/A,TRUE,"Region Wise ";#N/A,#N/A,TRUE,"Client Wise"}</definedName>
    <definedName name="_Sort" hidden="1">[1]TEMPLATE!$A$31:$G$399</definedName>
    <definedName name="_Sort1.1" hidden="1">#REF!</definedName>
    <definedName name="_Sort1.2" hidden="1">#REF!</definedName>
    <definedName name="_Sort1.3" hidden="1">#REF!</definedName>
    <definedName name="_x1" hidden="1">{#N/A,#N/A,TRUE,"Overall";#N/A,#N/A,TRUE,"Region Wise ";#N/A,#N/A,TRUE,"Client Wise"}</definedName>
    <definedName name="a" hidden="1">{"WSQ1",#N/A,FALSE,"WRK P&amp;L -Qtr";"Q1ECG",#N/A,FALSE,"ECG P&amp;L -Qtr";"SRVQ1",#N/A,FALSE,"Server P&amp;L -Qtr";"Q1OPT",#N/A,FALSE,"Server Options P&amp;L -Qtr";"SOPSQ1",#N/A,FALSE,"SOPs P&amp;L -Qtr"}</definedName>
    <definedName name="AA" hidden="1">#REF!</definedName>
    <definedName name="aaaa" hidden="1">{"WSQ1",#N/A,FALSE,"WRK P&amp;L -Qtr";"Q1ECG",#N/A,FALSE,"ECG P&amp;L -Qtr";"SRVQ1",#N/A,FALSE,"Server P&amp;L -Qtr";"Q1OPT",#N/A,FALSE,"Server Options P&amp;L -Qtr";"SOPSQ1",#N/A,FALSE,"SOPs P&amp;L -Qtr"}</definedName>
    <definedName name="ab" hidden="1">{#N/A,#N/A,TRUE,"Overall";#N/A,#N/A,TRUE,"Region Wise ";#N/A,#N/A,TRUE,"Client Wise"}</definedName>
    <definedName name="abc" hidden="1">{"WSQ1",#N/A,FALSE,"WRK P&amp;L -Qtr";"Q1ECG",#N/A,FALSE,"ECG P&amp;L -Qtr";"SRVQ1",#N/A,FALSE,"Server P&amp;L -Qtr";"Q1OPT",#N/A,FALSE,"Server Options P&amp;L -Qtr";"SOPSQ1",#N/A,FALSE,"SOPs P&amp;L -Qtr"}</definedName>
    <definedName name="abcde" hidden="1">#REF!</definedName>
    <definedName name="abd" hidden="1">{"Application Management",#N/A,FALSE,"Total Costs"}</definedName>
    <definedName name="ad" hidden="1">{#N/A,#N/A,TRUE,"Overall";#N/A,#N/A,TRUE,"Region Wise ";#N/A,#N/A,TRUE,"Client Wise"}</definedName>
    <definedName name="ADF" hidden="1">{#N/A,#N/A,TRUE,"Overall";#N/A,#N/A,TRUE,"Region Wise ";#N/A,#N/A,TRUE,"Client Wise"}</definedName>
    <definedName name="aks" hidden="1">{#N/A,#N/A,TRUE,"Overall";#N/A,#N/A,TRUE,"Region Wise ";#N/A,#N/A,TRUE,"Client Wise"}</definedName>
    <definedName name="an" hidden="1">{#N/A,#N/A,TRUE,"Overall";#N/A,#N/A,TRUE,"Region Wise ";#N/A,#N/A,TRUE,"Client Wise"}</definedName>
    <definedName name="anscount" hidden="1">1</definedName>
    <definedName name="AQ" hidden="1">{#N/A,#N/A,TRUE,"Overall";#N/A,#N/A,TRUE,"Region Wise ";#N/A,#N/A,TRUE,"Client Wise"}</definedName>
    <definedName name="AQQ" hidden="1">{#N/A,#N/A,TRUE,"Overall";#N/A,#N/A,TRUE,"Region Wise ";#N/A,#N/A,TRUE,"Client Wise"}</definedName>
    <definedName name="as" hidden="1">{"Help Desk",#N/A,FALSE,"Total Costs"}</definedName>
    <definedName name="asa" hidden="1">{#N/A,#N/A,TRUE,"Overall";#N/A,#N/A,TRUE,"Region Wise ";#N/A,#N/A,TRUE,"Client Wise"}</definedName>
    <definedName name="asd" hidden="1">{#N/A,#N/A,TRUE,"Overall";#N/A,#N/A,TRUE,"Region Wise ";#N/A,#N/A,TRUE,"Client Wise"}</definedName>
    <definedName name="asdf" hidden="1">{"WSQ1",#N/A,FALSE,"WRK P&amp;L -Qtr";"Q1ECG",#N/A,FALSE,"ECG P&amp;L -Qtr";"SRVQ1",#N/A,FALSE,"Server P&amp;L -Qtr";"Q1OPT",#N/A,FALSE,"Server Options P&amp;L -Qtr";"SOPSQ1",#N/A,FALSE,"SOPs P&amp;L -Qtr"}</definedName>
    <definedName name="asdfasdf" hidden="1">{#N/A,#N/A,TRUE,"Overall";#N/A,#N/A,TRUE,"Region Wise ";#N/A,#N/A,TRUE,"Client Wise"}</definedName>
    <definedName name="asdss" hidden="1">{#N/A,#N/A,FALSE,"PRESS ADVERTISEMENT (SEBI)";#N/A,#N/A,FALSE,"US GAAP (not printed)"}</definedName>
    <definedName name="auq" hidden="1">{#N/A,#N/A,TRUE,"Overall";#N/A,#N/A,TRUE,"Region Wise ";#N/A,#N/A,TRUE,"Client Wise"}</definedName>
    <definedName name="b" hidden="1">{#N/A,#N/A,TRUE,"Overall";#N/A,#N/A,TRUE,"Region Wise ";#N/A,#N/A,TRUE,"Client Wise"}</definedName>
    <definedName name="Baseline" hidden="1">{"'Cost Centers'!$A$1:$P$373"}</definedName>
    <definedName name="bb" hidden="1">[4]Data_Detail!#REF!</definedName>
    <definedName name="BH" hidden="1">{"WSQ1",#N/A,FALSE,"WRK P&amp;L -Qtr";"Q1ECG",#N/A,FALSE,"ECG P&amp;L -Qtr";"SRVQ1",#N/A,FALSE,"Server P&amp;L -Qtr";"Q1OPT",#N/A,FALSE,"Server Options P&amp;L -Qtr";"SOPSQ1",#N/A,FALSE,"SOPs P&amp;L -Qtr"}</definedName>
    <definedName name="bla" hidden="1">{#N/A,#N/A,TRUE,"Overall";#N/A,#N/A,TRUE,"Region Wise ";#N/A,#N/A,TRUE,"Client Wise"}</definedName>
    <definedName name="BudgetVsActualComp" hidden="1">{#N/A,#N/A,TRUE,"Overall";#N/A,#N/A,TRUE,"Region Wise ";#N/A,#N/A,TRUE,"Client Wise"}</definedName>
    <definedName name="BudgetVsPL" hidden="1">{#N/A,#N/A,TRUE,"Overall";#N/A,#N/A,TRUE,"Region Wise ";#N/A,#N/A,TRUE,"Client Wise"}</definedName>
    <definedName name="bvcd" hidden="1">{"Help Desk",#N/A,FALSE,"Total Costs"}</definedName>
    <definedName name="china" hidden="1">{#N/A,#N/A,TRUE,"Overall";#N/A,#N/A,TRUE,"Region Wise ";#N/A,#N/A,TRUE,"Client Wise"}</definedName>
    <definedName name="Company_Name">#REF!</definedName>
    <definedName name="cost" hidden="1">{#N/A,#N/A,TRUE,"Overall";#N/A,#N/A,TRUE,"Region Wise ";#N/A,#N/A,TRUE,"Client Wise"}</definedName>
    <definedName name="cts" hidden="1">{#N/A,#N/A,TRUE,"Overall";#N/A,#N/A,TRUE,"Region Wise ";#N/A,#N/A,TRUE,"Client Wise"}</definedName>
    <definedName name="d" hidden="1">{"'Cost Centers'!$A$1:$P$373"}</definedName>
    <definedName name="DD" hidden="1">{"'Cost Centers'!$A$1:$P$373"}</definedName>
    <definedName name="dddddddddddddd" hidden="1">{0,0,0,0;0,0,0,0;0,0,0,0}</definedName>
    <definedName name="ddf" hidden="1">{"'Cost Centers'!$A$1:$P$373"}</definedName>
    <definedName name="DE" hidden="1">{#N/A,#N/A,TRUE,"Overall";#N/A,#N/A,TRUE,"Region Wise ";#N/A,#N/A,TRUE,"Client Wise"}</definedName>
    <definedName name="debtro" hidden="1">{#N/A,#N/A,TRUE,"Overall";#N/A,#N/A,TRUE,"Region Wise ";#N/A,#N/A,TRUE,"Client Wise"}</definedName>
    <definedName name="dfdf" hidden="1">{"'Cost Centers'!$A$1:$P$373"}</definedName>
    <definedName name="dfdfdfdf" hidden="1">{"'Cost Centers'!$A$1:$P$373"}</definedName>
    <definedName name="dfg" hidden="1">#REF!</definedName>
    <definedName name="dgdsfsd" hidden="1">{#N/A,#N/A,TRUE,"Overall";#N/A,#N/A,TRUE,"Region Wise ";#N/A,#N/A,TRUE,"Client Wise"}</definedName>
    <definedName name="di" hidden="1">{#N/A,#N/A,TRUE,"Overall";#N/A,#N/A,TRUE,"Region Wise ";#N/A,#N/A,TRUE,"Client Wise"}</definedName>
    <definedName name="ds" hidden="1">#REF!</definedName>
    <definedName name="e5ygetgfd" hidden="1">{#N/A,#N/A,TRUE,"Overall";#N/A,#N/A,TRUE,"Region Wise ";#N/A,#N/A,TRUE,"Client Wise"}</definedName>
    <definedName name="egedfsdf" hidden="1">{#N/A,#N/A,FALSE,"PRESS ADVERTISEMENT (SEBI)";#N/A,#N/A,FALSE,"US GAAP (not printed)"}</definedName>
    <definedName name="eghetghr" hidden="1">{#N/A,#N/A,TRUE,"Overall";#N/A,#N/A,TRUE,"Region Wise ";#N/A,#N/A,TRUE,"Client Wise"}</definedName>
    <definedName name="ehhh" hidden="1">{#N/A,#N/A,TRUE,"Overall";#N/A,#N/A,TRUE,"Region Wise ";#N/A,#N/A,TRUE,"Client Wise"}</definedName>
    <definedName name="erer" hidden="1">#REF!</definedName>
    <definedName name="erghdegv" hidden="1">{#N/A,#N/A,FALSE,"PRESS ADVERTISEMENT (SEBI)";#N/A,#N/A,FALSE,"US GAAP (not printed)"}</definedName>
    <definedName name="ert" hidden="1">#REF!</definedName>
    <definedName name="erter" hidden="1">#REF!</definedName>
    <definedName name="ertergdf" hidden="1">{#N/A,#N/A,TRUE,"Overall";#N/A,#N/A,TRUE,"Region Wise ";#N/A,#N/A,TRUE,"Client Wise"}</definedName>
    <definedName name="erterte" hidden="1">#REF!</definedName>
    <definedName name="ertertgfdf" hidden="1">{#N/A,#N/A,TRUE,"Overall";#N/A,#N/A,TRUE,"Region Wise ";#N/A,#N/A,TRUE,"Client Wise"}</definedName>
    <definedName name="etrwedss" hidden="1">{#N/A,#N/A,TRUE,"Overall";#N/A,#N/A,TRUE,"Region Wise ";#N/A,#N/A,TRUE,"Client Wise"}</definedName>
    <definedName name="fasdfs" hidden="1">{#N/A,#N/A,TRUE,"Overall";#N/A,#N/A,TRUE,"Region Wise ";#N/A,#N/A,TRUE,"Client Wise"}</definedName>
    <definedName name="fdfd" hidden="1">#REF!</definedName>
    <definedName name="ff" hidden="1">{#N/A,#N/A,TRUE,"Overall";#N/A,#N/A,TRUE,"Region Wise ";#N/A,#N/A,TRUE,"Client Wise"}</definedName>
    <definedName name="fffffffffffffffff" hidden="1">{0,0,0,0;0,0,0,0;0,0,0,0}</definedName>
    <definedName name="fs" hidden="1">#REF!</definedName>
    <definedName name="g" hidden="1">[5]Data_Detail!#REF!</definedName>
    <definedName name="gb" hidden="1">{"'Cost Centers'!$A$1:$P$373"}</definedName>
    <definedName name="ghergher" hidden="1">{#N/A,#N/A,TRUE,"Overall";#N/A,#N/A,TRUE,"Region Wise ";#N/A,#N/A,TRUE,"Client Wise"}</definedName>
    <definedName name="hhh" hidden="1">{#N/A,#N/A,TRUE,"Overall";#N/A,#N/A,TRUE,"Region Wise ";#N/A,#N/A,TRUE,"Client Wise"}</definedName>
    <definedName name="hitesh" hidden="1">{#N/A,#N/A,TRUE,"Overall";#N/A,#N/A,TRUE,"Region Wise ";#N/A,#N/A,TRUE,"Client Wise"}</definedName>
    <definedName name="HTML_CodePage" hidden="1">1252</definedName>
    <definedName name="HTML_Control" hidden="1">{"'FWD'!$A$1:$K$52","'SPT'!$Q$62","'OPT'!$A$1:$J$53"}</definedName>
    <definedName name="HTML_Description" hidden="1">""</definedName>
    <definedName name="HTML_Email" hidden="1">""</definedName>
    <definedName name="HTML_Header" hidden="1">"SPT"</definedName>
    <definedName name="HTML_LastUpdate" hidden="1">"6/10/98"</definedName>
    <definedName name="HTML_LineAfter" hidden="1">FALSE</definedName>
    <definedName name="HTML_LineBefore" hidden="1">FALSE</definedName>
    <definedName name="HTML_Name" hidden="1">"Reuters Dealing Room User"</definedName>
    <definedName name="HTML_OBDlg2" hidden="1">TRUE</definedName>
    <definedName name="HTML_OBDlg4" hidden="1">TRUE</definedName>
    <definedName name="HTML_OS" hidden="1">0</definedName>
    <definedName name="HTML_PathFile" hidden="1">"X:\PRICING\opt.htm"</definedName>
    <definedName name="HTML_Title" hidden="1">"rateupld"</definedName>
    <definedName name="iii" hidden="1">{#N/A,#N/A,TRUE,"Overall";#N/A,#N/A,TRUE,"Region Wise ";#N/A,#N/A,TRUE,"Client Wise"}</definedName>
    <definedName name="India" hidden="1">{#N/A,#N/A,TRUE,"Overall";#N/A,#N/A,TRUE,"Region Wise ";#N/A,#N/A,TRUE,"Client Wise"}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40002.4241550926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39342.4145717593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jf.augflsh" hidden="1">{"PG1",#N/A,FALSE,"AugFlashTemplate";"PG2",#N/A,FALSE,"AugFlashTemplate"}</definedName>
    <definedName name="junk1" hidden="1">{"PG1",#N/A,FALSE,"AugFlashTemplate";"PG2",#N/A,FALSE,"AugFlashTemplate"}</definedName>
    <definedName name="Junk10" hidden="1">{"PG1",#N/A,FALSE,"AugFlashTemplate";"PG2",#N/A,FALSE,"AugFlashTemplate"}</definedName>
    <definedName name="junk100" hidden="1">{"PG1",#N/A,FALSE,"AugFlashTemplate";"PG2",#N/A,FALSE,"AugFlashTemplate"}</definedName>
    <definedName name="junk2" hidden="1">{"PG1",#N/A,FALSE,"AugFlashTemplate";"PG2",#N/A,FALSE,"AugFlashTemplate"}</definedName>
    <definedName name="junk200" hidden="1">{"PG1",#N/A,FALSE,"AugFlashTemplate";"PG2",#N/A,FALSE,"AugFlashTemplate"}</definedName>
    <definedName name="junk300" hidden="1">{"PG1",#N/A,FALSE,"AugFlashTemplate";"PG2",#N/A,FALSE,"AugFlashTemplate"}</definedName>
    <definedName name="junk500" hidden="1">{"PG1",#N/A,FALSE,"AugFlashTemplate";"PG2",#N/A,FALSE,"AugFlashTemplate"}</definedName>
    <definedName name="kadam" hidden="1">{#N/A,#N/A,TRUE,"Overall";#N/A,#N/A,TRUE,"Region Wise ";#N/A,#N/A,TRUE,"Client Wise"}</definedName>
    <definedName name="kj" hidden="1">{"'Cost Centers'!$A$1:$P$373"}</definedName>
    <definedName name="kkk" hidden="1">'[3]Monthly SOLD History'!#REF!</definedName>
    <definedName name="liability" hidden="1">{#N/A,#N/A,FALSE,"PRESS ADVERTISEMENT (SEBI)";#N/A,#N/A,FALSE,"US GAAP (not printed)"}</definedName>
    <definedName name="ListOffset" hidden="1">1</definedName>
    <definedName name="Location" hidden="1">{#N/A,#N/A,TRUE,"Overall";#N/A,#N/A,TRUE,"Region Wise ";#N/A,#N/A,TRUE,"Client Wise"}</definedName>
    <definedName name="MIS" hidden="1">{"'Overview'!$A$2:$E$37"}</definedName>
    <definedName name="New" hidden="1">{#N/A,#N/A,TRUE,"Overall";#N/A,#N/A,TRUE,"Region Wise ";#N/A,#N/A,TRUE,"Client Wise"}</definedName>
    <definedName name="nnnnnnnnnnn" hidden="1">{#VALUE!,#N/A,TRUE,0;#N/A,#N/A,TRUE,0;#N/A,#N/A,TRUE,0}</definedName>
    <definedName name="offshore" hidden="1">{#N/A,#N/A,TRUE,"Overall";#N/A,#N/A,TRUE,"Region Wise ";#N/A,#N/A,TRUE,"Client Wise"}</definedName>
    <definedName name="old.augflsh" hidden="1">{"PG1",#N/A,FALSE,"AugFlashTemplate";"PG2",#N/A,FALSE,"AugFlashTemplate"}</definedName>
    <definedName name="oM" hidden="1">"44CFUSM9NJ8YKVAD6178HRGGW"</definedName>
    <definedName name="Onsite" hidden="1">{#N/A,#N/A,TRUE,"Overall";#N/A,#N/A,TRUE,"Region Wise ";#N/A,#N/A,TRUE,"Client Wise"}</definedName>
    <definedName name="Pl" hidden="1">{#N/A,#N/A,TRUE,"Overall";#N/A,#N/A,TRUE,"Region Wise ";#N/A,#N/A,TRUE,"Client Wise"}</definedName>
    <definedName name="Q4WD3" hidden="1">{"PG1",#N/A,FALSE,"AugFlashTemplate";"PG2",#N/A,FALSE,"AugFlashTemplate"}</definedName>
    <definedName name="qqqqqqqqqqq" hidden="1">#REF!</definedName>
    <definedName name="rerer" hidden="1">#REF!</definedName>
    <definedName name="rhygdfg" hidden="1">{#N/A,#N/A,TRUE,"Overall";#N/A,#N/A,TRUE,"Region Wise ";#N/A,#N/A,TRUE,"Client Wise"}</definedName>
    <definedName name="rwegdrgdfg" hidden="1">{#N/A,#N/A,TRUE,"Overall";#N/A,#N/A,TRUE,"Region Wise ";#N/A,#N/A,TRUE,"Client Wise"}</definedName>
    <definedName name="sad" hidden="1">{#N/A,#N/A,TRUE,"Overall";#N/A,#N/A,TRUE,"Region Wise ";#N/A,#N/A,TRUE,"Client Wise"}</definedName>
    <definedName name="SAPBEXdnldView" hidden="1">"4G3MHH9T0NHCQXWCUYDQEHSGE"</definedName>
    <definedName name="SAPBEXhrIndnt" hidden="1">1</definedName>
    <definedName name="SAPBEXrevision" hidden="1">1</definedName>
    <definedName name="SAPBEXsysID" hidden="1">"P25"</definedName>
    <definedName name="SAPBEXwbID" hidden="1">"4VH4OXAMDDSH9N0KIRCX5LGZP"</definedName>
    <definedName name="SAÜBEXsysID2" hidden="1">"BW1"</definedName>
    <definedName name="sdfsdsdg" hidden="1">{#N/A,#N/A,TRUE,"Overall";#N/A,#N/A,TRUE,"Region Wise ";#N/A,#N/A,TRUE,"Client Wise"}</definedName>
    <definedName name="sfsdfsdfw" hidden="1">{#N/A,#N/A,TRUE,"Overall";#N/A,#N/A,TRUE,"Region Wise ";#N/A,#N/A,TRUE,"Client Wise"}</definedName>
    <definedName name="sriram" hidden="1">{#N/A,#N/A,TRUE,"Overall";#N/A,#N/A,TRUE,"Region Wise ";#N/A,#N/A,TRUE,"Client Wise"}</definedName>
    <definedName name="ss" hidden="1">{#N/A,#N/A,TRUE,"Overall";#N/A,#N/A,TRUE,"Region Wise ";#N/A,#N/A,TRUE,"Client Wise"}</definedName>
    <definedName name="sss" hidden="1">#REF!</definedName>
    <definedName name="Temp" hidden="1">#REF!</definedName>
    <definedName name="thytrgh" hidden="1">{#N/A,#N/A,TRUE,"Overall";#N/A,#N/A,TRUE,"Region Wise ";#N/A,#N/A,TRUE,"Client Wise"}</definedName>
    <definedName name="tt" hidden="1">#REF!</definedName>
    <definedName name="ty" hidden="1">#REF!</definedName>
    <definedName name="v" hidden="1">{"'Cost Centers'!$A$1:$P$373"}</definedName>
    <definedName name="vb" hidden="1">#REF!</definedName>
    <definedName name="vv" hidden="1">{"'Cost Centers'!$A$1:$P$373"}</definedName>
    <definedName name="wawew" hidden="1">{"'Cost Centers'!$A$1:$P$373"}</definedName>
    <definedName name="wed" hidden="1">{#N/A,#N/A,TRUE,"Overall";#N/A,#N/A,TRUE,"Region Wise ";#N/A,#N/A,TRUE,"Client Wise"}</definedName>
    <definedName name="weerwqrwe" hidden="1">{#N/A,#N/A,TRUE,"Overall";#N/A,#N/A,TRUE,"Region Wise ";#N/A,#N/A,TRUE,"Client Wise"}</definedName>
    <definedName name="werwerwe" hidden="1">{#N/A,#N/A,TRUE,"Overall";#N/A,#N/A,TRUE,"Region Wise ";#N/A,#N/A,TRUE,"Client Wise"}</definedName>
    <definedName name="weyergf" hidden="1">{#N/A,#N/A,TRUE,"Overall";#N/A,#N/A,TRUE,"Region Wise ";#N/A,#N/A,TRUE,"Client Wise"}</definedName>
    <definedName name="work" hidden="1">{#N/A,#N/A,TRUE,"Overall";#N/A,#N/A,TRUE,"Region Wise ";#N/A,#N/A,TRUE,"Client Wise"}</definedName>
    <definedName name="WorksheetYear5" hidden="1">{#N/A,#N/A,TRUE,"Overall";#N/A,#N/A,TRUE,"Region Wise ";#N/A,#N/A,TRUE,"Client Wise"}</definedName>
    <definedName name="WoW" hidden="1">{#N/A,#N/A,TRUE,"Overall";#N/A,#N/A,TRUE,"Region Wise ";#N/A,#N/A,TRUE,"Client Wise"}</definedName>
    <definedName name="wrewfsd" hidden="1">{#N/A,#N/A,TRUE,"Overall";#N/A,#N/A,TRUE,"Region Wise ";#N/A,#N/A,TRUE,"Client Wise"}</definedName>
    <definedName name="wrn.All._.Total._.Costsl.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ugFlsh." hidden="1">{"PG1",#N/A,FALSE,"AugFlashTemplate";"PG2",#N/A,FALSE,"AugFlashTemplate"}</definedName>
    <definedName name="wrn.Full._.Report." hidden="1">{#N/A,#N/A,TRUE,"Overall";#N/A,#N/A,TRUE,"Region Wise ";#N/A,#N/A,TRUE,"Client Wise"}</definedName>
    <definedName name="wrn.Help._.Desk._.Total._.Costs." hidden="1">{"Help Desk",#N/A,FALSE,"Total Costs"}</definedName>
    <definedName name="wrn.MIS._.Report._.for._.Sept01." hidden="1">{"YTD Profitability",#N/A,FALSE,"Dash Board";"Manpower-Sept",#N/A,FALSE,"Dash Board";"Consolidated-Q2",#N/A,FALSE,"Dash Board"}</definedName>
    <definedName name="wrn.QTR._.1._.LOOK." hidden="1">{"WSQ1",#N/A,FALSE,"WRK P&amp;L -Qtr";"Q1ECG",#N/A,FALSE,"ECG P&amp;L -Qtr";"SRVQ1",#N/A,FALSE,"Server P&amp;L -Qtr";"Q1OPT",#N/A,FALSE,"Server Options P&amp;L -Qtr";"SOPSQ1",#N/A,FALSE,"SOPs P&amp;L -Qtr"}</definedName>
    <definedName name="wrn.ReadMe." hidden="1">{#N/A,#N/A,FALSE,"Schedule-Cost";#N/A,#N/A,FALSE,"Estimates-Unit_Level";#N/A,#N/A,FALSE,"ComplexityBasedUnitEfforts";#N/A,#N/A,FALSE,"Unit Cost";#N/A,#N/A,FALSE,"ComplexityAnalysis"}</definedName>
    <definedName name="wrn.Server._.Management._.Total._.Costs." hidden="1">{"Server Management",#N/A,FALSE,"Total Costs"}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upplemental_Reports." hidden="1">{#N/A,#N/A,FALSE,"Report Data";#N/A,#N/A,FALSE,"COMP POOL";#N/A,#N/A,FALSE,"COMP POOL NB95";#N/A,#N/A,FALSE,"COMP POOL NB94"}</definedName>
    <definedName name="wrn.Total._.Summary." hidden="1">{"Summary",#N/A,FALSE,"Total GSD";"Summary ISPR",#N/A,FALSE,"Total ISPR";"Summary Admin",#N/A,FALSE,"70023"}</definedName>
    <definedName name="wrwefrw" hidden="1">{#N/A,#N/A,TRUE,"Overall";#N/A,#N/A,TRUE,"Region Wise ";#N/A,#N/A,TRUE,"Client Wise"}</definedName>
    <definedName name="wrwefsd" hidden="1">{#N/A,#N/A,TRUE,"Overall";#N/A,#N/A,TRUE,"Region Wise ";#N/A,#N/A,TRUE,"Client Wise"}</definedName>
    <definedName name="wrwerwer" hidden="1">{#N/A,#N/A,TRUE,"Overall";#N/A,#N/A,TRUE,"Region Wise ";#N/A,#N/A,TRUE,"Client Wise"}</definedName>
    <definedName name="wtgergerg" hidden="1">{#N/A,#N/A,TRUE,"Overall";#N/A,#N/A,TRUE,"Region Wise ";#N/A,#N/A,TRUE,"Client Wise"}</definedName>
    <definedName name="wtrwerfsd" hidden="1">{#N/A,#N/A,TRUE,"Overall";#N/A,#N/A,TRUE,"Region Wise ";#N/A,#N/A,TRUE,"Client Wise"}</definedName>
    <definedName name="wtwefw" hidden="1">{#N/A,#N/A,TRUE,"Overall";#N/A,#N/A,TRUE,"Region Wise ";#N/A,#N/A,TRUE,"Client Wise"}</definedName>
    <definedName name="ww.augflsh" hidden="1">{"PG1",#N/A,FALSE,"AugFlashTemplate";"PG2",#N/A,FALSE,"AugFlashTemplate"}</definedName>
    <definedName name="X" hidden="1">#REF!</definedName>
    <definedName name="xq" hidden="1">{#N/A,#N/A,TRUE,"Overall";#N/A,#N/A,TRUE,"Region Wise ";#N/A,#N/A,TRUE,"Client Wise"}</definedName>
    <definedName name="xx" hidden="1">{#N/A,#N/A,TRUE,"Overall";#N/A,#N/A,TRUE,"Region Wise ";#N/A,#N/A,TRUE,"Client Wise"}</definedName>
    <definedName name="xxx" hidden="1">{"PG1",#N/A,FALSE,"AugFlashTemplate";"PG2",#N/A,FALSE,"AugFlashTemplate"}</definedName>
    <definedName name="xxxxxxxxxxxx" hidden="1">{#N/A,#N/A,TRUE,"Overall";#N/A,#N/A,TRUE,"Region Wise ";#N/A,#N/A,TRUE,"Client Wise"}</definedName>
    <definedName name="z" hidden="1">[5]Data_Summary!#REF!</definedName>
    <definedName name="Z_702BDE95_5471_4904_8C01_9EA480EA1004_.wvu.Cols" hidden="1">#REF!,#REF!,#REF!</definedName>
    <definedName name="Z_ED32C521_2B6F_11D6_9967_009027BE6DFE_.wvu.Rows" hidden="1">#REF!,#REF!,#REF!,#REF!,#REF!,#REF!,#REF!</definedName>
    <definedName name="ZLE" hidden="1">{"'Overview'!$A$2:$E$37"}</definedName>
    <definedName name="zzzz" hidden="1">{#N/A,#N/A,TRUE,"Overall";#N/A,#N/A,TRUE,"Region Wise ";#N/A,#N/A,TRUE,"Client Wise"}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3" l="1"/>
  <c r="J22" i="28"/>
  <c r="K22" i="28"/>
  <c r="L22" i="28"/>
  <c r="M22" i="28"/>
  <c r="I22" i="28"/>
  <c r="J12" i="28"/>
  <c r="K12" i="28"/>
  <c r="L12" i="28"/>
  <c r="M12" i="28"/>
  <c r="J7" i="28"/>
  <c r="K7" i="28"/>
  <c r="L7" i="28"/>
  <c r="M7" i="28"/>
  <c r="I7" i="28"/>
  <c r="I6" i="28"/>
  <c r="J6" i="28"/>
  <c r="K6" i="28"/>
  <c r="L6" i="28"/>
  <c r="M6" i="28"/>
  <c r="I33" i="19"/>
  <c r="J33" i="19"/>
  <c r="K33" i="19"/>
  <c r="L33" i="19"/>
  <c r="M33" i="19"/>
  <c r="I32" i="19"/>
  <c r="J32" i="19"/>
  <c r="K32" i="19"/>
  <c r="L32" i="19"/>
  <c r="M32" i="19"/>
  <c r="I31" i="20"/>
  <c r="J31" i="20"/>
  <c r="K31" i="20"/>
  <c r="L31" i="20"/>
  <c r="M31" i="20"/>
  <c r="J26" i="20" l="1"/>
  <c r="K26" i="20"/>
  <c r="L26" i="20"/>
  <c r="M26" i="20"/>
  <c r="I26" i="20"/>
  <c r="I29" i="26"/>
  <c r="J29" i="26"/>
  <c r="L29" i="26"/>
  <c r="M29" i="26"/>
  <c r="I25" i="26"/>
  <c r="J25" i="26"/>
  <c r="K25" i="26"/>
  <c r="L25" i="26"/>
  <c r="M25" i="26"/>
  <c r="I24" i="26"/>
  <c r="J24" i="26"/>
  <c r="K24" i="26"/>
  <c r="L24" i="26"/>
  <c r="M24" i="26"/>
  <c r="J18" i="26"/>
  <c r="K18" i="26"/>
  <c r="L18" i="26"/>
  <c r="M18" i="26"/>
  <c r="I18" i="26"/>
  <c r="I17" i="26"/>
  <c r="J17" i="26"/>
  <c r="K17" i="26"/>
  <c r="L17" i="26"/>
  <c r="M17" i="26"/>
  <c r="J13" i="26"/>
  <c r="I14" i="26"/>
  <c r="M14" i="26"/>
  <c r="L15" i="26"/>
  <c r="I11" i="26"/>
  <c r="J11" i="26"/>
  <c r="K11" i="26"/>
  <c r="L11" i="26"/>
  <c r="M11" i="26"/>
  <c r="I40" i="21"/>
  <c r="J40" i="21"/>
  <c r="K40" i="21"/>
  <c r="L40" i="21"/>
  <c r="M40" i="21"/>
  <c r="J52" i="21"/>
  <c r="K52" i="21"/>
  <c r="K29" i="26" s="1"/>
  <c r="L52" i="21"/>
  <c r="M52" i="21"/>
  <c r="I52" i="21"/>
  <c r="J20" i="21"/>
  <c r="K20" i="21"/>
  <c r="L20" i="21"/>
  <c r="M20" i="21"/>
  <c r="I20" i="21"/>
  <c r="I17" i="21"/>
  <c r="J17" i="21"/>
  <c r="K17" i="21"/>
  <c r="L17" i="21"/>
  <c r="M17" i="21"/>
  <c r="I9" i="21"/>
  <c r="J9" i="21"/>
  <c r="K9" i="21"/>
  <c r="L9" i="21"/>
  <c r="M9" i="21"/>
  <c r="I10" i="21"/>
  <c r="J10" i="21"/>
  <c r="K10" i="21"/>
  <c r="L10" i="21"/>
  <c r="M10" i="21"/>
  <c r="I11" i="21"/>
  <c r="J11" i="21"/>
  <c r="K11" i="21"/>
  <c r="L11" i="21"/>
  <c r="M11" i="21"/>
  <c r="I12" i="21"/>
  <c r="J12" i="21"/>
  <c r="K12" i="21"/>
  <c r="L12" i="21"/>
  <c r="M12" i="21"/>
  <c r="I13" i="21"/>
  <c r="J13" i="21"/>
  <c r="K13" i="21"/>
  <c r="L13" i="21"/>
  <c r="M13" i="21"/>
  <c r="I14" i="21"/>
  <c r="J14" i="21"/>
  <c r="K14" i="21"/>
  <c r="L14" i="21"/>
  <c r="M14" i="21"/>
  <c r="J33" i="25"/>
  <c r="K33" i="25"/>
  <c r="L33" i="25"/>
  <c r="M33" i="25"/>
  <c r="I33" i="25"/>
  <c r="J31" i="25"/>
  <c r="K31" i="25"/>
  <c r="L31" i="25"/>
  <c r="M31" i="25"/>
  <c r="I31" i="25"/>
  <c r="I14" i="25"/>
  <c r="J14" i="25"/>
  <c r="K14" i="25"/>
  <c r="L14" i="25"/>
  <c r="M14" i="25"/>
  <c r="I10" i="25"/>
  <c r="J10" i="25"/>
  <c r="K10" i="25"/>
  <c r="L10" i="25"/>
  <c r="M10" i="25"/>
  <c r="I11" i="25"/>
  <c r="J11" i="25"/>
  <c r="K11" i="25"/>
  <c r="L11" i="25"/>
  <c r="M11" i="25"/>
  <c r="I12" i="25"/>
  <c r="J12" i="25"/>
  <c r="K12" i="25"/>
  <c r="L12" i="25"/>
  <c r="M12" i="25"/>
  <c r="I13" i="25"/>
  <c r="J13" i="25"/>
  <c r="K13" i="25"/>
  <c r="L13" i="25"/>
  <c r="M13" i="25"/>
  <c r="H25" i="24"/>
  <c r="I22" i="24"/>
  <c r="J22" i="24"/>
  <c r="K22" i="24"/>
  <c r="L22" i="24"/>
  <c r="M22" i="24"/>
  <c r="I18" i="24"/>
  <c r="I15" i="26" s="1"/>
  <c r="J18" i="24"/>
  <c r="J15" i="26" s="1"/>
  <c r="K18" i="24"/>
  <c r="K15" i="26" s="1"/>
  <c r="L18" i="24"/>
  <c r="M18" i="24"/>
  <c r="M15" i="26" s="1"/>
  <c r="I17" i="24"/>
  <c r="J17" i="24"/>
  <c r="J14" i="26" s="1"/>
  <c r="K17" i="24"/>
  <c r="K14" i="26" s="1"/>
  <c r="L17" i="24"/>
  <c r="L14" i="26" s="1"/>
  <c r="M17" i="24"/>
  <c r="I16" i="24"/>
  <c r="I13" i="26" s="1"/>
  <c r="J16" i="24"/>
  <c r="K16" i="24"/>
  <c r="K13" i="26" s="1"/>
  <c r="L16" i="24"/>
  <c r="L13" i="26" s="1"/>
  <c r="M16" i="24"/>
  <c r="M13" i="26" s="1"/>
  <c r="L15" i="24"/>
  <c r="L12" i="26" s="1"/>
  <c r="M15" i="24"/>
  <c r="M12" i="26" s="1"/>
  <c r="I15" i="24"/>
  <c r="I12" i="26" s="1"/>
  <c r="I11" i="24"/>
  <c r="J11" i="24"/>
  <c r="K11" i="24"/>
  <c r="L11" i="24"/>
  <c r="M11" i="24"/>
  <c r="M74" i="23"/>
  <c r="L74" i="23"/>
  <c r="K74" i="23"/>
  <c r="J74" i="23"/>
  <c r="J73" i="23"/>
  <c r="K73" i="23"/>
  <c r="L73" i="23"/>
  <c r="M73" i="23"/>
  <c r="I73" i="23"/>
  <c r="I69" i="23"/>
  <c r="J69" i="23"/>
  <c r="K69" i="23"/>
  <c r="L69" i="23"/>
  <c r="M69" i="23"/>
  <c r="I70" i="23"/>
  <c r="J70" i="23"/>
  <c r="K70" i="23"/>
  <c r="L70" i="23"/>
  <c r="M70" i="23"/>
  <c r="I71" i="23"/>
  <c r="J71" i="23"/>
  <c r="K71" i="23"/>
  <c r="L71" i="23"/>
  <c r="M71" i="23"/>
  <c r="I72" i="23"/>
  <c r="J72" i="23"/>
  <c r="K72" i="23"/>
  <c r="L72" i="23"/>
  <c r="M72" i="23"/>
  <c r="I63" i="23"/>
  <c r="J63" i="23"/>
  <c r="K63" i="23"/>
  <c r="L63" i="23"/>
  <c r="M63" i="23"/>
  <c r="I64" i="23"/>
  <c r="J64" i="23"/>
  <c r="K64" i="23"/>
  <c r="L64" i="23"/>
  <c r="M64" i="23"/>
  <c r="I65" i="23"/>
  <c r="J65" i="23"/>
  <c r="K65" i="23"/>
  <c r="L65" i="23"/>
  <c r="M65" i="23"/>
  <c r="I66" i="23"/>
  <c r="J66" i="23"/>
  <c r="K66" i="23"/>
  <c r="L66" i="23"/>
  <c r="M66" i="23"/>
  <c r="J60" i="23"/>
  <c r="K60" i="23"/>
  <c r="L60" i="23"/>
  <c r="M60" i="23"/>
  <c r="I60" i="23"/>
  <c r="I57" i="23"/>
  <c r="J57" i="23"/>
  <c r="K57" i="23"/>
  <c r="L57" i="23"/>
  <c r="M57" i="23"/>
  <c r="I58" i="23"/>
  <c r="J58" i="23"/>
  <c r="K58" i="23"/>
  <c r="L58" i="23"/>
  <c r="M58" i="23"/>
  <c r="I59" i="23"/>
  <c r="J59" i="23"/>
  <c r="K59" i="23"/>
  <c r="L59" i="23"/>
  <c r="M59" i="23"/>
  <c r="J56" i="23"/>
  <c r="K56" i="23"/>
  <c r="L56" i="23"/>
  <c r="M56" i="23"/>
  <c r="I56" i="23"/>
  <c r="J51" i="23"/>
  <c r="K51" i="23"/>
  <c r="L51" i="23"/>
  <c r="M51" i="23"/>
  <c r="I51" i="23"/>
  <c r="J47" i="23"/>
  <c r="K47" i="23"/>
  <c r="L47" i="23"/>
  <c r="M47" i="23"/>
  <c r="I47" i="23"/>
  <c r="J46" i="23"/>
  <c r="K46" i="23"/>
  <c r="L46" i="23"/>
  <c r="M46" i="23"/>
  <c r="I46" i="23"/>
  <c r="J45" i="23"/>
  <c r="K45" i="23"/>
  <c r="L45" i="23"/>
  <c r="M45" i="23"/>
  <c r="I45" i="23"/>
  <c r="M35" i="23"/>
  <c r="L35" i="23"/>
  <c r="K35" i="23"/>
  <c r="K15" i="24" s="1"/>
  <c r="K12" i="26" s="1"/>
  <c r="M41" i="23"/>
  <c r="L41" i="23"/>
  <c r="K41" i="23"/>
  <c r="J41" i="23"/>
  <c r="I41" i="23"/>
  <c r="J40" i="23"/>
  <c r="K40" i="23"/>
  <c r="L40" i="23"/>
  <c r="M40" i="23"/>
  <c r="I40" i="23"/>
  <c r="J39" i="23"/>
  <c r="K39" i="23"/>
  <c r="L39" i="23"/>
  <c r="M39" i="23"/>
  <c r="I39" i="23"/>
  <c r="J35" i="23"/>
  <c r="J15" i="24" s="1"/>
  <c r="J12" i="26" s="1"/>
  <c r="I35" i="23"/>
  <c r="I31" i="23"/>
  <c r="J31" i="23"/>
  <c r="K31" i="23"/>
  <c r="L31" i="23"/>
  <c r="M31" i="23"/>
  <c r="I32" i="23"/>
  <c r="J32" i="23"/>
  <c r="K32" i="23"/>
  <c r="L32" i="23"/>
  <c r="M32" i="23"/>
  <c r="I33" i="23"/>
  <c r="J33" i="23"/>
  <c r="K33" i="23"/>
  <c r="L33" i="23"/>
  <c r="M33" i="23"/>
  <c r="I34" i="23"/>
  <c r="J34" i="23"/>
  <c r="K34" i="23"/>
  <c r="L34" i="23"/>
  <c r="M34" i="23"/>
  <c r="J30" i="23"/>
  <c r="K30" i="23"/>
  <c r="L30" i="23"/>
  <c r="M30" i="23"/>
  <c r="I23" i="23"/>
  <c r="J23" i="23"/>
  <c r="K23" i="23"/>
  <c r="L23" i="23"/>
  <c r="M23" i="23"/>
  <c r="I24" i="23"/>
  <c r="J24" i="23"/>
  <c r="K24" i="23"/>
  <c r="L24" i="23"/>
  <c r="M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I16" i="23"/>
  <c r="J16" i="23"/>
  <c r="K16" i="23"/>
  <c r="L16" i="23"/>
  <c r="M16" i="23"/>
  <c r="I17" i="23"/>
  <c r="J17" i="23"/>
  <c r="K17" i="23"/>
  <c r="L17" i="23"/>
  <c r="M17" i="23"/>
  <c r="I18" i="23"/>
  <c r="J18" i="23"/>
  <c r="K18" i="23"/>
  <c r="L18" i="23"/>
  <c r="M18" i="23"/>
  <c r="I19" i="23"/>
  <c r="J19" i="23"/>
  <c r="K19" i="23"/>
  <c r="L19" i="23"/>
  <c r="M19" i="23"/>
  <c r="I20" i="23"/>
  <c r="J20" i="23"/>
  <c r="K20" i="23"/>
  <c r="L20" i="23"/>
  <c r="M20" i="23"/>
  <c r="I13" i="23"/>
  <c r="J13" i="23"/>
  <c r="K13" i="23"/>
  <c r="L13" i="23"/>
  <c r="M13" i="23"/>
  <c r="I8" i="23"/>
  <c r="J8" i="23"/>
  <c r="K8" i="23"/>
  <c r="L8" i="23"/>
  <c r="M8" i="23"/>
  <c r="I9" i="23"/>
  <c r="J9" i="23"/>
  <c r="K9" i="23"/>
  <c r="L9" i="23"/>
  <c r="M9" i="23"/>
  <c r="I10" i="23"/>
  <c r="J10" i="23"/>
  <c r="K10" i="23"/>
  <c r="L10" i="23"/>
  <c r="M10" i="23"/>
  <c r="I11" i="23"/>
  <c r="K11" i="23"/>
  <c r="L11" i="23"/>
  <c r="M11" i="23"/>
  <c r="I12" i="23"/>
  <c r="J12" i="23"/>
  <c r="K12" i="23"/>
  <c r="L12" i="23"/>
  <c r="M12" i="23"/>
  <c r="J30" i="22"/>
  <c r="K30" i="22"/>
  <c r="L30" i="22"/>
  <c r="M30" i="22"/>
  <c r="I30" i="22"/>
  <c r="M24" i="22"/>
  <c r="I23" i="22"/>
  <c r="J23" i="22"/>
  <c r="K23" i="22"/>
  <c r="L23" i="22"/>
  <c r="M23" i="22"/>
  <c r="H19" i="22"/>
  <c r="K24" i="22" s="1"/>
  <c r="I18" i="22"/>
  <c r="J18" i="22"/>
  <c r="K18" i="22"/>
  <c r="L18" i="22"/>
  <c r="M18" i="22"/>
  <c r="J35" i="20"/>
  <c r="K35" i="20"/>
  <c r="L35" i="20"/>
  <c r="M35" i="20"/>
  <c r="J36" i="20"/>
  <c r="K36" i="20"/>
  <c r="L36" i="20"/>
  <c r="M36" i="20"/>
  <c r="J37" i="20"/>
  <c r="K37" i="20"/>
  <c r="L37" i="20"/>
  <c r="M37" i="20"/>
  <c r="I37" i="20"/>
  <c r="J22" i="20"/>
  <c r="K22" i="20"/>
  <c r="L22" i="20"/>
  <c r="M22" i="20"/>
  <c r="I22" i="20"/>
  <c r="M15" i="20"/>
  <c r="L15" i="20"/>
  <c r="K15" i="20"/>
  <c r="J15" i="20"/>
  <c r="I15" i="20"/>
  <c r="I36" i="20" s="1"/>
  <c r="J10" i="20"/>
  <c r="K10" i="20"/>
  <c r="L10" i="20"/>
  <c r="M10" i="20"/>
  <c r="I10" i="20"/>
  <c r="I35" i="20" s="1"/>
  <c r="I19" i="20"/>
  <c r="J19" i="20"/>
  <c r="K19" i="20"/>
  <c r="L19" i="20"/>
  <c r="M19" i="20"/>
  <c r="I14" i="20"/>
  <c r="J14" i="20"/>
  <c r="K14" i="20"/>
  <c r="L14" i="20"/>
  <c r="M14" i="20"/>
  <c r="J9" i="20"/>
  <c r="K9" i="20"/>
  <c r="L9" i="20"/>
  <c r="M9" i="20"/>
  <c r="I9" i="20"/>
  <c r="J20" i="20"/>
  <c r="J21" i="20" s="1"/>
  <c r="K20" i="20"/>
  <c r="K21" i="20" s="1"/>
  <c r="L20" i="20"/>
  <c r="M20" i="20"/>
  <c r="L21" i="20"/>
  <c r="M21" i="20"/>
  <c r="I21" i="20"/>
  <c r="I20" i="20"/>
  <c r="J18" i="20"/>
  <c r="K18" i="20"/>
  <c r="L18" i="20"/>
  <c r="M18" i="20"/>
  <c r="I18" i="20"/>
  <c r="J8" i="20"/>
  <c r="K8" i="20"/>
  <c r="L8" i="20"/>
  <c r="M8" i="20"/>
  <c r="J13" i="20"/>
  <c r="K13" i="20"/>
  <c r="L13" i="20"/>
  <c r="M13" i="20"/>
  <c r="I13" i="20"/>
  <c r="I8" i="20"/>
  <c r="J62" i="19"/>
  <c r="K62" i="19"/>
  <c r="L62" i="19"/>
  <c r="M62" i="19"/>
  <c r="J63" i="19"/>
  <c r="K63" i="19"/>
  <c r="L63" i="19"/>
  <c r="M63" i="19"/>
  <c r="J64" i="19"/>
  <c r="K64" i="19"/>
  <c r="L64" i="19"/>
  <c r="M64" i="19"/>
  <c r="I64" i="19"/>
  <c r="I63" i="19"/>
  <c r="I62" i="19"/>
  <c r="J56" i="19"/>
  <c r="K56" i="19"/>
  <c r="L56" i="19"/>
  <c r="M56" i="19"/>
  <c r="J57" i="19"/>
  <c r="J59" i="19" s="1"/>
  <c r="K57" i="19"/>
  <c r="K59" i="19" s="1"/>
  <c r="L57" i="19"/>
  <c r="L59" i="19" s="1"/>
  <c r="M57" i="19"/>
  <c r="M59" i="19" s="1"/>
  <c r="J58" i="19"/>
  <c r="K58" i="19"/>
  <c r="L58" i="19"/>
  <c r="M58" i="19"/>
  <c r="I59" i="19"/>
  <c r="I58" i="19"/>
  <c r="I57" i="19"/>
  <c r="I56" i="19"/>
  <c r="I52" i="19"/>
  <c r="J52" i="19"/>
  <c r="K52" i="19"/>
  <c r="L52" i="19"/>
  <c r="M52" i="19"/>
  <c r="J51" i="19"/>
  <c r="K51" i="19"/>
  <c r="L51" i="19"/>
  <c r="M51" i="19"/>
  <c r="I51" i="19"/>
  <c r="J50" i="19"/>
  <c r="K50" i="19"/>
  <c r="L50" i="19"/>
  <c r="M50" i="19"/>
  <c r="I50" i="19"/>
  <c r="I49" i="19"/>
  <c r="J49" i="19"/>
  <c r="K49" i="19"/>
  <c r="L49" i="19"/>
  <c r="M49" i="19"/>
  <c r="I40" i="19"/>
  <c r="J40" i="19"/>
  <c r="K40" i="19"/>
  <c r="L40" i="19"/>
  <c r="M40" i="19"/>
  <c r="I41" i="19"/>
  <c r="J41" i="19"/>
  <c r="K41" i="19"/>
  <c r="L41" i="19"/>
  <c r="M41" i="19"/>
  <c r="I42" i="19"/>
  <c r="J42" i="19"/>
  <c r="K42" i="19"/>
  <c r="L42" i="19"/>
  <c r="M42" i="19"/>
  <c r="J39" i="19"/>
  <c r="K39" i="19"/>
  <c r="L39" i="19"/>
  <c r="M39" i="19"/>
  <c r="I39" i="19"/>
  <c r="J20" i="19"/>
  <c r="K20" i="19"/>
  <c r="L20" i="19"/>
  <c r="M20" i="19"/>
  <c r="J21" i="19"/>
  <c r="K21" i="19"/>
  <c r="L21" i="19"/>
  <c r="M21" i="19"/>
  <c r="J22" i="19"/>
  <c r="K22" i="19"/>
  <c r="L22" i="19"/>
  <c r="M22" i="19"/>
  <c r="J23" i="19"/>
  <c r="K23" i="19"/>
  <c r="L23" i="19"/>
  <c r="M23" i="19"/>
  <c r="I23" i="19"/>
  <c r="I22" i="19"/>
  <c r="I21" i="19"/>
  <c r="I20" i="19"/>
  <c r="J26" i="19"/>
  <c r="K26" i="19"/>
  <c r="L26" i="19"/>
  <c r="M26" i="19"/>
  <c r="J27" i="19"/>
  <c r="K27" i="19"/>
  <c r="L27" i="19"/>
  <c r="M27" i="19"/>
  <c r="J28" i="19"/>
  <c r="K28" i="19"/>
  <c r="L28" i="19"/>
  <c r="M28" i="19"/>
  <c r="J29" i="19"/>
  <c r="K29" i="19"/>
  <c r="L29" i="19"/>
  <c r="M29" i="19"/>
  <c r="I27" i="19"/>
  <c r="I28" i="19"/>
  <c r="I29" i="19"/>
  <c r="I26" i="19"/>
  <c r="J39" i="18"/>
  <c r="I14" i="19"/>
  <c r="J14" i="19"/>
  <c r="K14" i="19"/>
  <c r="L14" i="19"/>
  <c r="M14" i="19"/>
  <c r="I15" i="19"/>
  <c r="J15" i="19"/>
  <c r="K15" i="19"/>
  <c r="L15" i="19"/>
  <c r="M15" i="19"/>
  <c r="I16" i="19"/>
  <c r="J16" i="19"/>
  <c r="K16" i="19"/>
  <c r="L16" i="19"/>
  <c r="M16" i="19"/>
  <c r="I17" i="19"/>
  <c r="J17" i="19"/>
  <c r="K17" i="19"/>
  <c r="L17" i="19"/>
  <c r="M17" i="19"/>
  <c r="M11" i="19"/>
  <c r="L11" i="19"/>
  <c r="K11" i="19"/>
  <c r="J11" i="19"/>
  <c r="I11" i="19"/>
  <c r="M10" i="19"/>
  <c r="L10" i="19"/>
  <c r="K10" i="19"/>
  <c r="J10" i="19"/>
  <c r="I10" i="19"/>
  <c r="M9" i="19"/>
  <c r="L9" i="19"/>
  <c r="K9" i="19"/>
  <c r="J9" i="19"/>
  <c r="I9" i="19"/>
  <c r="M8" i="19"/>
  <c r="L8" i="19"/>
  <c r="K8" i="19"/>
  <c r="J8" i="19"/>
  <c r="I8" i="19"/>
  <c r="K151" i="18"/>
  <c r="L151" i="18" s="1"/>
  <c r="M151" i="18" s="1"/>
  <c r="J151" i="18"/>
  <c r="K146" i="18"/>
  <c r="L146" i="18" s="1"/>
  <c r="M146" i="18" s="1"/>
  <c r="J146" i="18"/>
  <c r="K121" i="18"/>
  <c r="L121" i="18" s="1"/>
  <c r="M121" i="18" s="1"/>
  <c r="J121" i="18"/>
  <c r="K120" i="18"/>
  <c r="L120" i="18" s="1"/>
  <c r="M120" i="18" s="1"/>
  <c r="J120" i="18"/>
  <c r="K119" i="18"/>
  <c r="L119" i="18" s="1"/>
  <c r="M119" i="18" s="1"/>
  <c r="J119" i="18"/>
  <c r="K118" i="18"/>
  <c r="L118" i="18" s="1"/>
  <c r="M118" i="18" s="1"/>
  <c r="J118" i="18"/>
  <c r="K117" i="18"/>
  <c r="L117" i="18" s="1"/>
  <c r="M117" i="18" s="1"/>
  <c r="J117" i="18"/>
  <c r="J114" i="18"/>
  <c r="K114" i="18"/>
  <c r="L114" i="18"/>
  <c r="M114" i="18"/>
  <c r="I114" i="18"/>
  <c r="J80" i="18"/>
  <c r="K80" i="18" s="1"/>
  <c r="L80" i="18" s="1"/>
  <c r="M80" i="18" s="1"/>
  <c r="K75" i="18"/>
  <c r="L75" i="18" s="1"/>
  <c r="M75" i="18" s="1"/>
  <c r="J75" i="18"/>
  <c r="J68" i="18"/>
  <c r="K68" i="18"/>
  <c r="L68" i="18" s="1"/>
  <c r="M68" i="18" s="1"/>
  <c r="K66" i="18"/>
  <c r="L66" i="18" s="1"/>
  <c r="M66" i="18" s="1"/>
  <c r="J66" i="18"/>
  <c r="J61" i="18"/>
  <c r="K61" i="18" s="1"/>
  <c r="L61" i="18" s="1"/>
  <c r="M61" i="18" s="1"/>
  <c r="K59" i="18"/>
  <c r="L59" i="18" s="1"/>
  <c r="M59" i="18" s="1"/>
  <c r="J59" i="18"/>
  <c r="K39" i="18"/>
  <c r="L39" i="18"/>
  <c r="M39" i="18"/>
  <c r="J40" i="18"/>
  <c r="K40" i="18"/>
  <c r="L40" i="18" s="1"/>
  <c r="M40" i="18" s="1"/>
  <c r="J41" i="18"/>
  <c r="K41" i="18"/>
  <c r="L41" i="18" s="1"/>
  <c r="M41" i="18" s="1"/>
  <c r="J42" i="18"/>
  <c r="K42" i="18"/>
  <c r="L42" i="18"/>
  <c r="M42" i="18"/>
  <c r="J21" i="18"/>
  <c r="K21" i="18" s="1"/>
  <c r="L21" i="18" s="1"/>
  <c r="M21" i="18" s="1"/>
  <c r="J22" i="18"/>
  <c r="K22" i="18" s="1"/>
  <c r="L22" i="18" s="1"/>
  <c r="M22" i="18" s="1"/>
  <c r="J23" i="18"/>
  <c r="K23" i="18" s="1"/>
  <c r="L23" i="18" s="1"/>
  <c r="M23" i="18" s="1"/>
  <c r="J24" i="18"/>
  <c r="K24" i="18" s="1"/>
  <c r="L24" i="18" s="1"/>
  <c r="M24" i="18" s="1"/>
  <c r="I12" i="28" l="1"/>
  <c r="I74" i="23"/>
  <c r="I30" i="23"/>
  <c r="L24" i="22"/>
  <c r="I24" i="22"/>
  <c r="I25" i="22" s="1"/>
  <c r="J24" i="22"/>
  <c r="J140" i="18"/>
  <c r="K140" i="18" s="1"/>
  <c r="L140" i="18" s="1"/>
  <c r="M140" i="18" s="1"/>
  <c r="J22" i="22" l="1"/>
  <c r="J25" i="22" s="1"/>
  <c r="I18" i="25"/>
  <c r="I7" i="22"/>
  <c r="J7" i="22"/>
  <c r="K7" i="22"/>
  <c r="K12" i="22" s="1"/>
  <c r="L7" i="22"/>
  <c r="L12" i="22" s="1"/>
  <c r="M7" i="22"/>
  <c r="M12" i="22" s="1"/>
  <c r="H8" i="22"/>
  <c r="I13" i="22" s="1"/>
  <c r="I31" i="22" s="1"/>
  <c r="I14" i="24" s="1"/>
  <c r="I19" i="24" s="1"/>
  <c r="I12" i="22"/>
  <c r="J12" i="22"/>
  <c r="I14" i="28" l="1"/>
  <c r="K22" i="22"/>
  <c r="K25" i="22" s="1"/>
  <c r="J18" i="25"/>
  <c r="I14" i="22"/>
  <c r="J3" i="28"/>
  <c r="K3" i="28" s="1"/>
  <c r="L3" i="28" s="1"/>
  <c r="M3" i="28" s="1"/>
  <c r="B1" i="28"/>
  <c r="D32" i="20"/>
  <c r="L22" i="22" l="1"/>
  <c r="L25" i="22" s="1"/>
  <c r="K18" i="25"/>
  <c r="I32" i="22"/>
  <c r="I18" i="21" s="1"/>
  <c r="I23" i="21" s="1"/>
  <c r="I17" i="25"/>
  <c r="I19" i="25" s="1"/>
  <c r="J11" i="22"/>
  <c r="J3" i="26"/>
  <c r="K3" i="26" s="1"/>
  <c r="L3" i="26" s="1"/>
  <c r="M3" i="26" s="1"/>
  <c r="B1" i="26"/>
  <c r="J3" i="25"/>
  <c r="K3" i="25" s="1"/>
  <c r="L3" i="25" s="1"/>
  <c r="M3" i="25" s="1"/>
  <c r="B1" i="25"/>
  <c r="I24" i="21" l="1"/>
  <c r="M22" i="22"/>
  <c r="M25" i="22" s="1"/>
  <c r="M18" i="25" s="1"/>
  <c r="L18" i="25"/>
  <c r="J3" i="24"/>
  <c r="K3" i="24" s="1"/>
  <c r="L3" i="24" s="1"/>
  <c r="M3" i="24" s="1"/>
  <c r="B1" i="24"/>
  <c r="J3" i="23"/>
  <c r="K3" i="23" s="1"/>
  <c r="L3" i="23" s="1"/>
  <c r="M3" i="23" s="1"/>
  <c r="B1" i="23"/>
  <c r="J3" i="22"/>
  <c r="B1" i="22"/>
  <c r="K3" i="22" l="1"/>
  <c r="J13" i="22"/>
  <c r="J31" i="22" s="1"/>
  <c r="J14" i="24" s="1"/>
  <c r="J19" i="24" s="1"/>
  <c r="D28" i="21"/>
  <c r="J14" i="28" l="1"/>
  <c r="J14" i="22"/>
  <c r="L3" i="22"/>
  <c r="K13" i="22"/>
  <c r="K31" i="22" s="1"/>
  <c r="K14" i="24" s="1"/>
  <c r="K19" i="24" s="1"/>
  <c r="J3" i="21"/>
  <c r="K3" i="21" s="1"/>
  <c r="L3" i="21" s="1"/>
  <c r="M3" i="21" s="1"/>
  <c r="B1" i="21"/>
  <c r="D63" i="19"/>
  <c r="D62" i="19"/>
  <c r="D64" i="19"/>
  <c r="D44" i="19"/>
  <c r="D39" i="20"/>
  <c r="D37" i="20"/>
  <c r="D36" i="20"/>
  <c r="D35" i="20"/>
  <c r="D22" i="20"/>
  <c r="K14" i="28" l="1"/>
  <c r="J32" i="22"/>
  <c r="J18" i="21" s="1"/>
  <c r="J23" i="21" s="1"/>
  <c r="J17" i="25"/>
  <c r="J19" i="25" s="1"/>
  <c r="M3" i="22"/>
  <c r="L13" i="22"/>
  <c r="L31" i="22" s="1"/>
  <c r="L14" i="24" s="1"/>
  <c r="L19" i="24" s="1"/>
  <c r="K11" i="22"/>
  <c r="K14" i="22" s="1"/>
  <c r="D15" i="20"/>
  <c r="D10" i="20"/>
  <c r="J3" i="20"/>
  <c r="K3" i="20" s="1"/>
  <c r="L3" i="20" s="1"/>
  <c r="M3" i="20" s="1"/>
  <c r="B1" i="20"/>
  <c r="L14" i="28" l="1"/>
  <c r="J24" i="21"/>
  <c r="K32" i="22"/>
  <c r="K18" i="21" s="1"/>
  <c r="K23" i="21" s="1"/>
  <c r="K17" i="25"/>
  <c r="K19" i="25" s="1"/>
  <c r="M13" i="22"/>
  <c r="M31" i="22" s="1"/>
  <c r="M14" i="24" s="1"/>
  <c r="M19" i="24" s="1"/>
  <c r="L11" i="22"/>
  <c r="L14" i="22" s="1"/>
  <c r="J3" i="19"/>
  <c r="K3" i="19" s="1"/>
  <c r="L3" i="19" s="1"/>
  <c r="M3" i="19" s="1"/>
  <c r="B1" i="19"/>
  <c r="M14" i="28" l="1"/>
  <c r="K24" i="21"/>
  <c r="L32" i="22"/>
  <c r="L18" i="21" s="1"/>
  <c r="L23" i="21" s="1"/>
  <c r="L17" i="25"/>
  <c r="L19" i="25" s="1"/>
  <c r="M11" i="22"/>
  <c r="M14" i="22" s="1"/>
  <c r="J3" i="18"/>
  <c r="K3" i="18" s="1"/>
  <c r="L3" i="18" s="1"/>
  <c r="M3" i="18" s="1"/>
  <c r="B1" i="18"/>
  <c r="L24" i="21" l="1"/>
  <c r="M32" i="22"/>
  <c r="M18" i="21" s="1"/>
  <c r="M23" i="21" s="1"/>
  <c r="M17" i="25"/>
  <c r="M19" i="25" s="1"/>
  <c r="M24" i="21" l="1"/>
  <c r="I22" i="25" l="1"/>
  <c r="J22" i="25"/>
  <c r="K22" i="25"/>
  <c r="L22" i="25"/>
  <c r="M22" i="25"/>
  <c r="I23" i="25"/>
  <c r="J23" i="25"/>
  <c r="K23" i="25"/>
  <c r="L23" i="25"/>
  <c r="M23" i="25"/>
  <c r="I24" i="25"/>
  <c r="J24" i="25"/>
  <c r="K24" i="25"/>
  <c r="L24" i="25"/>
  <c r="M24" i="25"/>
  <c r="I26" i="25"/>
  <c r="J26" i="25"/>
  <c r="K26" i="25"/>
  <c r="L26" i="25"/>
  <c r="M26" i="25"/>
  <c r="I32" i="25"/>
  <c r="J32" i="25"/>
  <c r="K32" i="25"/>
  <c r="L32" i="25"/>
  <c r="M32" i="25"/>
  <c r="I34" i="25"/>
  <c r="J34" i="25"/>
  <c r="K34" i="25"/>
  <c r="L34" i="25"/>
  <c r="M34" i="25"/>
  <c r="I37" i="25"/>
  <c r="J37" i="25"/>
  <c r="K37" i="25"/>
  <c r="L37" i="25"/>
  <c r="M37" i="25"/>
  <c r="I38" i="25"/>
  <c r="J38" i="25"/>
  <c r="K38" i="25"/>
  <c r="L38" i="25"/>
  <c r="M38" i="25"/>
  <c r="I39" i="25"/>
  <c r="J39" i="25"/>
  <c r="K39" i="25"/>
  <c r="L39" i="25"/>
  <c r="M39" i="25"/>
  <c r="I41" i="25"/>
  <c r="J41" i="25"/>
  <c r="K41" i="25"/>
  <c r="L41" i="25"/>
  <c r="M41" i="25"/>
  <c r="I43" i="25"/>
  <c r="J43" i="25"/>
  <c r="K43" i="25"/>
  <c r="L43" i="25"/>
  <c r="M43" i="25"/>
  <c r="I19" i="21"/>
  <c r="J19" i="21"/>
  <c r="K19" i="21"/>
  <c r="L19" i="21"/>
  <c r="M19" i="21"/>
  <c r="I21" i="21"/>
  <c r="J21" i="21"/>
  <c r="K21" i="21"/>
  <c r="L21" i="21"/>
  <c r="M21" i="21"/>
  <c r="I22" i="21"/>
  <c r="J22" i="21"/>
  <c r="K22" i="21"/>
  <c r="L22" i="21"/>
  <c r="M22" i="21"/>
  <c r="I25" i="21"/>
  <c r="J25" i="21"/>
  <c r="K25" i="21"/>
  <c r="L25" i="21"/>
  <c r="M25" i="21"/>
  <c r="I26" i="21"/>
  <c r="J26" i="21"/>
  <c r="K26" i="21"/>
  <c r="L26" i="21"/>
  <c r="M26" i="21"/>
  <c r="I27" i="21"/>
  <c r="J27" i="21"/>
  <c r="K27" i="21"/>
  <c r="L27" i="21"/>
  <c r="M27" i="21"/>
  <c r="I28" i="21"/>
  <c r="J28" i="21"/>
  <c r="K28" i="21"/>
  <c r="L28" i="21"/>
  <c r="M28" i="21"/>
  <c r="I39" i="21"/>
  <c r="J39" i="21"/>
  <c r="K39" i="21"/>
  <c r="L39" i="21"/>
  <c r="M39" i="21"/>
  <c r="I41" i="21"/>
  <c r="J41" i="21"/>
  <c r="K41" i="21"/>
  <c r="L41" i="21"/>
  <c r="M41" i="21"/>
  <c r="I42" i="21"/>
  <c r="J42" i="21"/>
  <c r="K42" i="21"/>
  <c r="L42" i="21"/>
  <c r="M42" i="21"/>
  <c r="I43" i="21"/>
  <c r="J43" i="21"/>
  <c r="K43" i="21"/>
  <c r="L43" i="21"/>
  <c r="M43" i="21"/>
  <c r="J46" i="21"/>
  <c r="K46" i="21"/>
  <c r="L46" i="21"/>
  <c r="M46" i="21"/>
  <c r="I47" i="21"/>
  <c r="J47" i="21"/>
  <c r="K47" i="21"/>
  <c r="L47" i="21"/>
  <c r="M47" i="21"/>
  <c r="I48" i="21"/>
  <c r="J48" i="21"/>
  <c r="K48" i="21"/>
  <c r="L48" i="21"/>
  <c r="M48" i="21"/>
  <c r="J51" i="21"/>
  <c r="K51" i="21"/>
  <c r="L51" i="21"/>
  <c r="M51" i="21"/>
  <c r="I53" i="21"/>
  <c r="J53" i="21"/>
  <c r="K53" i="21"/>
  <c r="L53" i="21"/>
  <c r="M53" i="21"/>
  <c r="I54" i="21"/>
  <c r="J54" i="21"/>
  <c r="K54" i="21"/>
  <c r="L54" i="21"/>
  <c r="M54" i="21"/>
  <c r="I9" i="26"/>
  <c r="J9" i="26"/>
  <c r="K9" i="26"/>
  <c r="L9" i="26"/>
  <c r="M9" i="26"/>
  <c r="I10" i="26"/>
  <c r="J10" i="26"/>
  <c r="K10" i="26"/>
  <c r="L10" i="26"/>
  <c r="M10" i="26"/>
  <c r="I16" i="26"/>
  <c r="J16" i="26"/>
  <c r="K16" i="26"/>
  <c r="L16" i="26"/>
  <c r="M16" i="26"/>
  <c r="I19" i="26"/>
  <c r="J19" i="26"/>
  <c r="K19" i="26"/>
  <c r="L19" i="26"/>
  <c r="M19" i="26"/>
  <c r="I20" i="26"/>
  <c r="J20" i="26"/>
  <c r="K20" i="26"/>
  <c r="L20" i="26"/>
  <c r="M20" i="26"/>
  <c r="I30" i="26"/>
  <c r="J30" i="26"/>
  <c r="K30" i="26"/>
  <c r="L30" i="26"/>
  <c r="M30" i="26"/>
  <c r="I31" i="26"/>
  <c r="J31" i="26"/>
  <c r="K31" i="26"/>
  <c r="L31" i="26"/>
  <c r="M31" i="26"/>
  <c r="I32" i="26"/>
  <c r="J32" i="26"/>
  <c r="K32" i="26"/>
  <c r="L32" i="26"/>
  <c r="M32" i="26"/>
  <c r="I36" i="26"/>
  <c r="J36" i="26"/>
  <c r="K36" i="26"/>
  <c r="L36" i="26"/>
  <c r="M36" i="26"/>
  <c r="J37" i="26"/>
  <c r="K37" i="26"/>
  <c r="L37" i="26"/>
  <c r="M37" i="26"/>
  <c r="I38" i="26"/>
  <c r="J38" i="26"/>
  <c r="K38" i="26"/>
  <c r="L38" i="26"/>
  <c r="M38" i="26"/>
  <c r="I7" i="24"/>
  <c r="J7" i="24"/>
  <c r="K7" i="24"/>
  <c r="L7" i="24"/>
  <c r="M7" i="24"/>
  <c r="I8" i="24"/>
  <c r="J8" i="24"/>
  <c r="K8" i="24"/>
  <c r="L8" i="24"/>
  <c r="M8" i="24"/>
  <c r="I9" i="24"/>
  <c r="J9" i="24"/>
  <c r="K9" i="24"/>
  <c r="L9" i="24"/>
  <c r="M9" i="24"/>
  <c r="I12" i="24"/>
  <c r="J12" i="24"/>
  <c r="K12" i="24"/>
  <c r="L12" i="24"/>
  <c r="M12" i="24"/>
  <c r="I20" i="24"/>
  <c r="J20" i="24"/>
  <c r="K20" i="24"/>
  <c r="L20" i="24"/>
  <c r="M20" i="24"/>
  <c r="I23" i="24"/>
  <c r="J23" i="24"/>
  <c r="K23" i="24"/>
  <c r="L23" i="24"/>
  <c r="M23" i="24"/>
  <c r="I25" i="24"/>
  <c r="J25" i="24"/>
  <c r="K25" i="24"/>
  <c r="L25" i="24"/>
  <c r="M25" i="24"/>
  <c r="I26" i="24"/>
  <c r="J26" i="24"/>
  <c r="K26" i="24"/>
  <c r="L26" i="24"/>
  <c r="M26" i="24"/>
  <c r="I34" i="19"/>
  <c r="J34" i="19"/>
  <c r="K34" i="19"/>
  <c r="L34" i="19"/>
  <c r="M34" i="19"/>
  <c r="I35" i="19"/>
  <c r="J35" i="19"/>
  <c r="K35" i="19"/>
  <c r="L35" i="19"/>
  <c r="M35" i="19"/>
  <c r="I36" i="19"/>
  <c r="J36" i="19"/>
  <c r="K36" i="19"/>
  <c r="L36" i="19"/>
  <c r="M36" i="19"/>
  <c r="I43" i="19"/>
  <c r="J43" i="19"/>
  <c r="K43" i="19"/>
  <c r="L43" i="19"/>
  <c r="M43" i="19"/>
  <c r="I44" i="19"/>
  <c r="J44" i="19"/>
  <c r="K44" i="19"/>
  <c r="L44" i="19"/>
  <c r="M44" i="19"/>
  <c r="I25" i="20"/>
  <c r="J25" i="20"/>
  <c r="K25" i="20"/>
  <c r="L25" i="20"/>
  <c r="M25" i="20"/>
  <c r="I27" i="20"/>
  <c r="J27" i="20"/>
  <c r="K27" i="20"/>
  <c r="L27" i="20"/>
  <c r="M27" i="20"/>
  <c r="I28" i="20"/>
  <c r="J28" i="20"/>
  <c r="K28" i="20"/>
  <c r="L28" i="20"/>
  <c r="M28" i="20"/>
  <c r="I29" i="20"/>
  <c r="J29" i="20"/>
  <c r="K29" i="20"/>
  <c r="L29" i="20"/>
  <c r="M29" i="20"/>
  <c r="I30" i="20"/>
  <c r="J30" i="20"/>
  <c r="K30" i="20"/>
  <c r="L30" i="20"/>
  <c r="M30" i="20"/>
  <c r="I32" i="20"/>
  <c r="J32" i="20"/>
  <c r="K32" i="20"/>
  <c r="L32" i="20"/>
  <c r="M32" i="20"/>
  <c r="I38" i="20"/>
  <c r="J38" i="20"/>
  <c r="K38" i="20"/>
  <c r="L38" i="20"/>
  <c r="M38" i="20"/>
  <c r="I39" i="20"/>
  <c r="J39" i="20"/>
  <c r="K39" i="20"/>
  <c r="L39" i="20"/>
  <c r="M39" i="20"/>
  <c r="I8" i="28"/>
  <c r="J8" i="28"/>
  <c r="K8" i="28"/>
  <c r="L8" i="28"/>
  <c r="M8" i="28"/>
  <c r="I9" i="28"/>
  <c r="J9" i="28"/>
  <c r="K9" i="28"/>
  <c r="L9" i="28"/>
  <c r="M9" i="28"/>
  <c r="I10" i="28"/>
  <c r="J10" i="28"/>
  <c r="K10" i="28"/>
  <c r="L10" i="28"/>
  <c r="M10" i="28"/>
  <c r="I11" i="28"/>
  <c r="J11" i="28"/>
  <c r="K11" i="28"/>
  <c r="L11" i="28"/>
  <c r="M11" i="28"/>
  <c r="I13" i="28"/>
  <c r="J13" i="28"/>
  <c r="K13" i="28"/>
  <c r="L13" i="28"/>
  <c r="M13" i="28"/>
  <c r="I15" i="28"/>
  <c r="J15" i="28"/>
  <c r="K15" i="28"/>
  <c r="L15" i="28"/>
  <c r="M15" i="28"/>
  <c r="I18" i="28"/>
  <c r="J18" i="28"/>
  <c r="K18" i="28"/>
  <c r="L18" i="28"/>
  <c r="M18" i="28"/>
  <c r="I19" i="28"/>
  <c r="J19" i="28"/>
  <c r="K19" i="28"/>
  <c r="L19" i="28"/>
  <c r="M19" i="28"/>
  <c r="I20" i="28"/>
  <c r="J20" i="28"/>
  <c r="K20" i="28"/>
  <c r="L20" i="28"/>
  <c r="M20" i="28"/>
  <c r="I21" i="28"/>
  <c r="J21" i="28"/>
  <c r="K21" i="28"/>
  <c r="L21" i="28"/>
  <c r="M21" i="28"/>
  <c r="I23" i="28"/>
  <c r="J23" i="28"/>
  <c r="K23" i="28"/>
  <c r="L23" i="28"/>
  <c r="M23" i="28"/>
  <c r="I24" i="28"/>
  <c r="J24" i="28"/>
  <c r="K24" i="28"/>
  <c r="L24" i="28"/>
  <c r="M24" i="28"/>
  <c r="I25" i="28"/>
  <c r="J25" i="28"/>
  <c r="K25" i="28"/>
  <c r="L25" i="28"/>
  <c r="M25" i="28"/>
</calcChain>
</file>

<file path=xl/sharedStrings.xml><?xml version="1.0" encoding="utf-8"?>
<sst xmlns="http://schemas.openxmlformats.org/spreadsheetml/2006/main" count="660" uniqueCount="200">
  <si>
    <t>%</t>
  </si>
  <si>
    <t>Years</t>
  </si>
  <si>
    <t>Depreciation</t>
  </si>
  <si>
    <t>Interest expense</t>
  </si>
  <si>
    <t>Balance Sheet</t>
  </si>
  <si>
    <t>Cash Flow Statement</t>
  </si>
  <si>
    <t>Opening balance</t>
  </si>
  <si>
    <t>Closing balance</t>
  </si>
  <si>
    <t>Capex</t>
  </si>
  <si>
    <t>Total</t>
  </si>
  <si>
    <t>Check</t>
  </si>
  <si>
    <t>Equity</t>
  </si>
  <si>
    <t>Fixed Assets Schedule</t>
  </si>
  <si>
    <t>Inputs and Assumptions</t>
  </si>
  <si>
    <t>End of Sheet</t>
  </si>
  <si>
    <t>x</t>
  </si>
  <si>
    <t>Initial equity infusion</t>
  </si>
  <si>
    <t>INR</t>
  </si>
  <si>
    <t>Other Loans</t>
  </si>
  <si>
    <t>Housing Loans</t>
  </si>
  <si>
    <t>Personal Loans</t>
  </si>
  <si>
    <t>Corporate Loans</t>
  </si>
  <si>
    <t>No. of clients</t>
  </si>
  <si>
    <t>#</t>
  </si>
  <si>
    <t>Non Interest Income</t>
  </si>
  <si>
    <t>Average loan amount</t>
  </si>
  <si>
    <t>Interest rate</t>
  </si>
  <si>
    <t>Investment banking division</t>
  </si>
  <si>
    <t>No. of deals</t>
  </si>
  <si>
    <t>Average deal size</t>
  </si>
  <si>
    <t>Average fees charged</t>
  </si>
  <si>
    <t>Average commission charged</t>
  </si>
  <si>
    <t>YoY increase in no. of deals</t>
  </si>
  <si>
    <t>YoY increase in avg deal size</t>
  </si>
  <si>
    <t>No. of transactions</t>
  </si>
  <si>
    <t>YoY increase in no. of transactions</t>
  </si>
  <si>
    <t>Other fees and commissions (like FX sale/purchase)</t>
  </si>
  <si>
    <t>Average transaction amount</t>
  </si>
  <si>
    <t>YoY increase in avg transaction amount</t>
  </si>
  <si>
    <t>YoY growth % in avg loan amount</t>
  </si>
  <si>
    <t>YoY growth % in no. of clients</t>
  </si>
  <si>
    <t>Loan Portfolio</t>
  </si>
  <si>
    <t>General Provisions</t>
  </si>
  <si>
    <t>Savings account</t>
  </si>
  <si>
    <t>Deposits amount</t>
  </si>
  <si>
    <t>YoY increase in deposits amount</t>
  </si>
  <si>
    <t>Current account</t>
  </si>
  <si>
    <t>Term deposits</t>
  </si>
  <si>
    <t>CASA ratio (i.e. CASA Deposits / Total Deposits)</t>
  </si>
  <si>
    <t>Borrowings</t>
  </si>
  <si>
    <t>Capital Expenditure and Depreciation</t>
  </si>
  <si>
    <t>Office furniture and fixtures</t>
  </si>
  <si>
    <t>IT and other infrastructure</t>
  </si>
  <si>
    <t>Useful Economic Life</t>
  </si>
  <si>
    <t>Employee Cost</t>
  </si>
  <si>
    <t>Director</t>
  </si>
  <si>
    <t>Sr Manager</t>
  </si>
  <si>
    <t>No. of employees per grade</t>
  </si>
  <si>
    <t>Manager</t>
  </si>
  <si>
    <t>Associates</t>
  </si>
  <si>
    <t>Others</t>
  </si>
  <si>
    <t>YoY increment in salary</t>
  </si>
  <si>
    <t>Fringe (covering bonus, empl welfare, gratuity, etc.)</t>
  </si>
  <si>
    <t>% of salary</t>
  </si>
  <si>
    <t>Rental Expense</t>
  </si>
  <si>
    <t>Total space area leased</t>
  </si>
  <si>
    <t>sq.m.</t>
  </si>
  <si>
    <t>YoY increase in rental cost</t>
  </si>
  <si>
    <t>Monthly rental cost per sq.m.</t>
  </si>
  <si>
    <t>No. of ATMs</t>
  </si>
  <si>
    <t>ATM Cost</t>
  </si>
  <si>
    <t>Other operational cost</t>
  </si>
  <si>
    <t>Tax</t>
  </si>
  <si>
    <t>Corporate tax rate</t>
  </si>
  <si>
    <t>YoY increase in operational cost</t>
  </si>
  <si>
    <t>Interest income</t>
  </si>
  <si>
    <t>Non-Interest Income</t>
  </si>
  <si>
    <t>Interest Income</t>
  </si>
  <si>
    <t>Total loan portfolio</t>
  </si>
  <si>
    <t>INR Mn</t>
  </si>
  <si>
    <t>Fees from Investment banking division</t>
  </si>
  <si>
    <t>Other fees and commissions</t>
  </si>
  <si>
    <t>Interest Expense on Deposits and Borrowings</t>
  </si>
  <si>
    <t>Total Deposits</t>
  </si>
  <si>
    <t>Term Deposits</t>
  </si>
  <si>
    <t>Non-Interest income</t>
  </si>
  <si>
    <t xml:space="preserve">Capital Adequacy Ratio </t>
  </si>
  <si>
    <t>Interest and Non-Interest Income</t>
  </si>
  <si>
    <t>Capital Adequacy Ratio  (CAR)</t>
  </si>
  <si>
    <t>Capital</t>
  </si>
  <si>
    <t>CAR target</t>
  </si>
  <si>
    <t xml:space="preserve">Capital adequacy ratio </t>
  </si>
  <si>
    <t>Risk weight for loans (weighted avg. assumption)</t>
  </si>
  <si>
    <t>Risk weight for tangible assets (weighted avg. assumption)</t>
  </si>
  <si>
    <t>Market Risk</t>
  </si>
  <si>
    <t>Operational Risk as of Revenues</t>
  </si>
  <si>
    <t>Operational Risk Multiplier</t>
  </si>
  <si>
    <t>Deposits and Borrowings</t>
  </si>
  <si>
    <t>Total interest expense</t>
  </si>
  <si>
    <t>Tangible Assets</t>
  </si>
  <si>
    <t>Revenues</t>
  </si>
  <si>
    <t>Total Revenues (3 yrs average)</t>
  </si>
  <si>
    <t>Target and risk parameters</t>
  </si>
  <si>
    <t>Base data for CAR workings</t>
  </si>
  <si>
    <t>Net Interest Income</t>
  </si>
  <si>
    <t>Total Loans given</t>
  </si>
  <si>
    <t>Base for Market Risk</t>
  </si>
  <si>
    <t>Base for Operational Risk</t>
  </si>
  <si>
    <t>Base for Capital Adequacy (i.e. Risk weighted assets)</t>
  </si>
  <si>
    <t>Base for Asset Classes (Credit Risk)</t>
  </si>
  <si>
    <t>Eligible Capital for CAR computation</t>
  </si>
  <si>
    <t>Fixed Assets - Capital Expenditure and Depreciation</t>
  </si>
  <si>
    <t>Add: Capex</t>
  </si>
  <si>
    <t>Less: Depreciation</t>
  </si>
  <si>
    <t>Fixed Assets Summary</t>
  </si>
  <si>
    <t>Closing balance of fixed assets</t>
  </si>
  <si>
    <t>Summary</t>
  </si>
  <si>
    <t>Annual rental expense</t>
  </si>
  <si>
    <t>Annual ATM related costs</t>
  </si>
  <si>
    <t>Monthly rental cost and incidental expenses per ATM</t>
  </si>
  <si>
    <t>Income Statement</t>
  </si>
  <si>
    <t>All figures in INR Mn</t>
  </si>
  <si>
    <t>Assets</t>
  </si>
  <si>
    <t>Liabilities and Equity</t>
  </si>
  <si>
    <t>Net Interest income</t>
  </si>
  <si>
    <t>Total Net Revenue</t>
  </si>
  <si>
    <t>Operating Profit (Loss) Before Tax</t>
  </si>
  <si>
    <t>Profit (Loss) Before Tax</t>
  </si>
  <si>
    <t>Net Income</t>
  </si>
  <si>
    <t>Tangible assets</t>
  </si>
  <si>
    <t>Total assets</t>
  </si>
  <si>
    <t>Loans</t>
  </si>
  <si>
    <t>Loans to customers</t>
  </si>
  <si>
    <t>Total Loan portfolio</t>
  </si>
  <si>
    <t>Cash and equivalents</t>
  </si>
  <si>
    <t>Total tangible assets</t>
  </si>
  <si>
    <t>Liabilities</t>
  </si>
  <si>
    <t>Funds Borrowed</t>
  </si>
  <si>
    <t>Deposits</t>
  </si>
  <si>
    <t>Total Liabilities</t>
  </si>
  <si>
    <t>Shareholders' equity</t>
  </si>
  <si>
    <t>Retained Earnings</t>
  </si>
  <si>
    <t>Retained earnings</t>
  </si>
  <si>
    <t>Total Equity</t>
  </si>
  <si>
    <t>Total Liabilities and Equity</t>
  </si>
  <si>
    <t>Total Assets</t>
  </si>
  <si>
    <t>Cash flows from operating activities</t>
  </si>
  <si>
    <t>Net cash flows from operating activities</t>
  </si>
  <si>
    <t>Cash flows from investing activities</t>
  </si>
  <si>
    <t>Net cash flows from financing activities</t>
  </si>
  <si>
    <t>Cash flows from financing activities</t>
  </si>
  <si>
    <t>Net (decrease)/increase in cash</t>
  </si>
  <si>
    <t>Cash and cash equivalents at start of period</t>
  </si>
  <si>
    <t>Cash and cash equivalents at period end</t>
  </si>
  <si>
    <t>Non interest income</t>
  </si>
  <si>
    <t>Other Operating Expenses and Provisions</t>
  </si>
  <si>
    <t>Operating Expenses</t>
  </si>
  <si>
    <t>General Provisions (as % of Loan Portfolio)</t>
  </si>
  <si>
    <t>Average annual salary per employee per grade</t>
  </si>
  <si>
    <t>Equity Capital</t>
  </si>
  <si>
    <t>Additional equity infusion (to meet CAR target)</t>
  </si>
  <si>
    <t>Equity infusion</t>
  </si>
  <si>
    <t>Net Income during the period</t>
  </si>
  <si>
    <t>Min. desired capital</t>
  </si>
  <si>
    <t>Available capital</t>
  </si>
  <si>
    <t>Shortfall (if any)</t>
  </si>
  <si>
    <t>Reserve deposits</t>
  </si>
  <si>
    <t>Proportion of overall deposits and borrowings</t>
  </si>
  <si>
    <t>Cash and reserves</t>
  </si>
  <si>
    <t>Total cash and reserve deposits</t>
  </si>
  <si>
    <t>Interest on Reserve Deposits</t>
  </si>
  <si>
    <t>Interest income on reserve deposits</t>
  </si>
  <si>
    <t>Cost to Income Ratio</t>
  </si>
  <si>
    <t>Net Interest Margin</t>
  </si>
  <si>
    <t>Non interest income to Total Net Revenue</t>
  </si>
  <si>
    <t>Interest income to Total Net Revenue</t>
  </si>
  <si>
    <t>Net cash flow from operating activities</t>
  </si>
  <si>
    <t>Net cash flow from investing activities</t>
  </si>
  <si>
    <t>Cash available (required)</t>
  </si>
  <si>
    <t>Cumulative balance</t>
  </si>
  <si>
    <t>Overall deposits and borrowings</t>
  </si>
  <si>
    <t>Loans to Deposits Ratio</t>
  </si>
  <si>
    <t>Year on year growth</t>
  </si>
  <si>
    <t>Loan portfolio</t>
  </si>
  <si>
    <t>Total liabilities, excluding shareholders' equity</t>
  </si>
  <si>
    <t>Net interest income</t>
  </si>
  <si>
    <t>Total net revenue</t>
  </si>
  <si>
    <t>Total operating expenses</t>
  </si>
  <si>
    <t>Net profit after tax</t>
  </si>
  <si>
    <t>Other key ratios / metrics</t>
  </si>
  <si>
    <t>Return on Average Equity</t>
  </si>
  <si>
    <t>Return on Average Assets</t>
  </si>
  <si>
    <t>Capital adequacy ratio</t>
  </si>
  <si>
    <t>Key Ratios and Metrics</t>
  </si>
  <si>
    <t>Net cash flows from investing activities</t>
  </si>
  <si>
    <t xml:space="preserve">Borrowing </t>
  </si>
  <si>
    <t xml:space="preserve">CASA ratio </t>
  </si>
  <si>
    <t>Total General Provisions balance</t>
  </si>
  <si>
    <t xml:space="preserve">General provisions created during the period </t>
  </si>
  <si>
    <t>Shareholders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</si>
</sst>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??_);_(@_)"/>
    <numFmt numFmtId="165" formatCode="[$-409]mmm\-yy;@"/>
    <numFmt numFmtId="166" formatCode="_(* #,##0.0_);_(* \(#,##0.0\);_(* &quot;-&quot;??_);_(@_)"/>
    <numFmt numFmtId="167" formatCode="0.0%"/>
    <numFmt numFmtId="168" formatCode="#,##0.0%;\-#,##0.0%;_(* &quot;-&quot;??_);_(@_)"/>
    <numFmt numFmtId="169" formatCode="&quot;Yr &quot;0"/>
    <numFmt numFmtId="170" formatCode="#,##0;[Red]\(#,##0\)"/>
    <numFmt numFmtId="171" formatCode="#,##0%;\-#,##0%;_(* &quot;-&quot;??_);_(@_)"/>
    <numFmt numFmtId="172" formatCode="#,##0.0\x"/>
    <numFmt numFmtId="173" formatCode="#,##0.00%;\-#,##0.00%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66"/>
      </top>
      <bottom/>
      <diagonal/>
    </border>
    <border>
      <left/>
      <right/>
      <top style="thick">
        <color theme="4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rgb="FF000066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6" fillId="0" borderId="5"/>
    <xf numFmtId="0" fontId="13" fillId="0" borderId="6"/>
    <xf numFmtId="170" fontId="1" fillId="6" borderId="7">
      <alignment horizontal="center"/>
    </xf>
    <xf numFmtId="0" fontId="5" fillId="0" borderId="8"/>
  </cellStyleXfs>
  <cellXfs count="62">
    <xf numFmtId="0" fontId="0" fillId="0" borderId="0" xfId="0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165" fontId="9" fillId="3" borderId="0" xfId="0" applyNumberFormat="1" applyFont="1" applyFill="1" applyAlignment="1">
      <alignment horizontal="right"/>
    </xf>
    <xf numFmtId="0" fontId="6" fillId="3" borderId="0" xfId="4" applyFont="1" applyFill="1"/>
    <xf numFmtId="0" fontId="11" fillId="3" borderId="0" xfId="0" applyFont="1" applyFill="1" applyAlignment="1">
      <alignment horizontal="center"/>
    </xf>
    <xf numFmtId="0" fontId="2" fillId="0" borderId="0" xfId="0" applyFont="1"/>
    <xf numFmtId="0" fontId="13" fillId="0" borderId="0" xfId="0" applyFont="1"/>
    <xf numFmtId="0" fontId="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167" fontId="9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8" fillId="2" borderId="0" xfId="4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4" borderId="0" xfId="4" applyFont="1" applyFill="1"/>
    <xf numFmtId="170" fontId="1" fillId="6" borderId="7" xfId="7" applyAlignment="1">
      <alignment horizontal="right"/>
    </xf>
    <xf numFmtId="167" fontId="18" fillId="3" borderId="0" xfId="0" applyNumberFormat="1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0" xfId="0" applyFont="1"/>
    <xf numFmtId="169" fontId="5" fillId="4" borderId="0" xfId="0" applyNumberFormat="1" applyFont="1" applyFill="1" applyAlignment="1">
      <alignment horizontal="right"/>
    </xf>
    <xf numFmtId="167" fontId="1" fillId="6" borderId="7" xfId="3" applyNumberFormat="1" applyFill="1" applyBorder="1" applyAlignment="1">
      <alignment horizontal="right"/>
    </xf>
    <xf numFmtId="164" fontId="0" fillId="0" borderId="0" xfId="0" applyNumberFormat="1"/>
    <xf numFmtId="0" fontId="16" fillId="5" borderId="2" xfId="5" applyFill="1" applyBorder="1"/>
    <xf numFmtId="0" fontId="16" fillId="5" borderId="3" xfId="5" applyFill="1" applyBorder="1"/>
    <xf numFmtId="0" fontId="21" fillId="5" borderId="3" xfId="5" applyFont="1" applyFill="1" applyBorder="1" applyAlignment="1">
      <alignment horizontal="center"/>
    </xf>
    <xf numFmtId="0" fontId="16" fillId="5" borderId="4" xfId="5" applyFill="1" applyBorder="1"/>
    <xf numFmtId="0" fontId="0" fillId="0" borderId="0" xfId="0" quotePrefix="1"/>
    <xf numFmtId="171" fontId="0" fillId="0" borderId="0" xfId="0" applyNumberFormat="1"/>
    <xf numFmtId="0" fontId="23" fillId="0" borderId="0" xfId="0" applyFont="1"/>
    <xf numFmtId="172" fontId="1" fillId="6" borderId="7" xfId="7" applyNumberFormat="1" applyAlignment="1">
      <alignment horizontal="right"/>
    </xf>
    <xf numFmtId="0" fontId="24" fillId="0" borderId="0" xfId="0" applyFont="1"/>
    <xf numFmtId="170" fontId="1" fillId="7" borderId="7" xfId="7" applyFill="1" applyAlignment="1">
      <alignment horizontal="right"/>
    </xf>
    <xf numFmtId="164" fontId="1" fillId="0" borderId="9" xfId="7" applyNumberForma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0" fontId="0" fillId="0" borderId="0" xfId="0" applyNumberFormat="1"/>
    <xf numFmtId="170" fontId="16" fillId="5" borderId="4" xfId="5" applyNumberFormat="1" applyFill="1" applyBorder="1"/>
    <xf numFmtId="168" fontId="0" fillId="0" borderId="0" xfId="0" applyNumberFormat="1"/>
    <xf numFmtId="173" fontId="0" fillId="0" borderId="0" xfId="0" applyNumberFormat="1"/>
    <xf numFmtId="166" fontId="0" fillId="0" borderId="0" xfId="0" applyNumberFormat="1"/>
    <xf numFmtId="167" fontId="1" fillId="0" borderId="0" xfId="3" applyNumberFormat="1" applyFill="1" applyBorder="1" applyAlignment="1">
      <alignment horizontal="right"/>
    </xf>
    <xf numFmtId="11" fontId="0" fillId="0" borderId="0" xfId="0" applyNumberFormat="1"/>
    <xf numFmtId="170" fontId="1" fillId="8" borderId="7" xfId="7" applyFill="1" applyAlignment="1">
      <alignment horizontal="right"/>
    </xf>
    <xf numFmtId="167" fontId="1" fillId="8" borderId="7" xfId="3" applyNumberFormat="1" applyFill="1" applyBorder="1" applyAlignment="1">
      <alignment horizontal="right"/>
    </xf>
    <xf numFmtId="172" fontId="1" fillId="8" borderId="7" xfId="7" applyNumberFormat="1" applyFill="1" applyAlignment="1">
      <alignment horizontal="right"/>
    </xf>
    <xf numFmtId="170" fontId="2" fillId="8" borderId="7" xfId="7" applyFont="1" applyFill="1" applyAlignment="1">
      <alignment horizontal="right"/>
    </xf>
    <xf numFmtId="170" fontId="1" fillId="0" borderId="7" xfId="7" applyFill="1" applyAlignment="1">
      <alignment horizontal="right"/>
    </xf>
    <xf numFmtId="0" fontId="26" fillId="0" borderId="0" xfId="0" applyFont="1"/>
    <xf numFmtId="168" fontId="2" fillId="0" borderId="0" xfId="0" applyNumberFormat="1" applyFont="1"/>
    <xf numFmtId="170" fontId="2" fillId="0" borderId="7" xfId="7" applyFont="1" applyFill="1" applyAlignment="1">
      <alignment horizontal="right"/>
    </xf>
    <xf numFmtId="0" fontId="27" fillId="0" borderId="0" xfId="0" applyFont="1"/>
    <xf numFmtId="169" fontId="7" fillId="2" borderId="0" xfId="0" applyNumberFormat="1" applyFont="1" applyFill="1" applyAlignment="1">
      <alignment vertical="center"/>
    </xf>
    <xf numFmtId="0" fontId="28" fillId="5" borderId="3" xfId="5" applyFont="1" applyFill="1" applyBorder="1"/>
    <xf numFmtId="164" fontId="1" fillId="8" borderId="7" xfId="7" applyNumberFormat="1" applyFill="1" applyAlignment="1">
      <alignment horizontal="right"/>
    </xf>
  </cellXfs>
  <cellStyles count="9">
    <cellStyle name="End of sheet" xfId="8" xr:uid="{15F5C08F-81F4-4BA2-86EC-27BB5EF98DBC}"/>
    <cellStyle name="Heading 1 [Bold]" xfId="5" xr:uid="{DB72AF4F-E0C0-4749-AD58-C428014A89C0}"/>
    <cellStyle name="Heading 2 [Bold]" xfId="6" xr:uid="{4FC5D492-86C5-4B5B-A4D4-C2CA1FE5BF05}"/>
    <cellStyle name="Input gridlines" xfId="7" xr:uid="{B16AADF3-E460-427B-96CE-65CF0F970DA5}"/>
    <cellStyle name="Normal" xfId="0" builtinId="0"/>
    <cellStyle name="Normal 30" xfId="1" xr:uid="{00000000-0005-0000-0000-000002000000}"/>
    <cellStyle name="Normal_SPGL Coal Based 1350MW (6-27-2007)" xfId="4" xr:uid="{00000000-0005-0000-0000-000003000000}"/>
    <cellStyle name="Percent" xfId="3" builtinId="5"/>
    <cellStyle name="Percent 4" xfId="2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s\DEPT\SSD\F%20&amp;%20A\Financial%20Reporting\Perfbook\Fy00\PSS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SD\F%20&amp;%20A\Financial%20Reporting\HPCS%20Portfolio%20Mgmt%20Team\FY02%20HPCS%20Close\Month%20End%20Models\Step%205%20-%20Trend%20Reports\FY00\FY00%20Trend%20Report%20(Detail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8.sharepoint.hp.com/Documents%20and%20Settings/bzms8q/Local%20Settings/Temporary%20Internet%20Files/Content.MSO/Add%20Revenue%20Impact/Sales%20Forecast%20to%20Revenue%20Roll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8.sharepoint.hp.com/Documents%20and%20Settings/NaylorB/Local%20Settings/Temporary%20Internet%20Files/OLK75/Documents%20and%20Settings/jican/My%20Documents/May%2001%20Close/financial%20reporting%20model-May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NaylorB\Local%20Settings\Temporary%20Internet%20Files\OLK75\Documents%20and%20Settings\jican\My%20Documents\May%2001%20Close\financial%20reporting%20model-May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Mon Actual"/>
      <sheetName val="YTD Actual"/>
      <sheetName val="Super Region"/>
      <sheetName val="Region"/>
      <sheetName val="SSDGrowth"/>
      <sheetName val="data"/>
      <sheetName val="PLALL"/>
      <sheetName val="Emea"/>
      <sheetName val="Data_Detail"/>
      <sheetName val="Data_Summary"/>
      <sheetName val="PSSOrder"/>
      <sheetName val="Summary"/>
      <sheetName val="Q3 MEMA TSG Mix of NR"/>
      <sheetName val="P&amp;L Summary"/>
      <sheetName val="Sheet2"/>
      <sheetName val="Lists"/>
      <sheetName val="ORG"/>
      <sheetName val="ICI"/>
      <sheetName val="MERGER"/>
      <sheetName val="#REF"/>
      <sheetName val="COS vs PQ"/>
      <sheetName val="COS vs PQ Exit"/>
      <sheetName val="COS vs PY"/>
      <sheetName val="COS vs Fls"/>
      <sheetName val="COS vs ASP"/>
      <sheetName val="Tables"/>
      <sheetName val="PL vs PQ"/>
      <sheetName val="PL vs PY"/>
      <sheetName val="PL vs Fls"/>
      <sheetName val="PL vs ASP"/>
      <sheetName val="Rev_GM_NP"/>
      <sheetName val="Bridge"/>
      <sheetName val="Criteria"/>
      <sheetName val="Report Index"/>
      <sheetName val="Qtd to go"/>
      <sheetName val="Data Opex"/>
      <sheetName val="Data HC"/>
      <sheetName val="LATAM Forecast"/>
      <sheetName val="Mon_Actual"/>
      <sheetName val="YTD_Actual"/>
      <sheetName val="Super_Region"/>
      <sheetName val="Q3_MEMA_TSG_Mix_of_NR"/>
      <sheetName val="P&amp;L_Summary"/>
      <sheetName val="COS_vs_PQ"/>
      <sheetName val="COS_vs_PQ_Exit"/>
      <sheetName val="COS_vs_PY"/>
      <sheetName val="COS_vs_Fls"/>
      <sheetName val="COS_vs_ASP"/>
      <sheetName val="PL_vs_PQ"/>
      <sheetName val="PL_vs_PY"/>
      <sheetName val="PL_vs_Fls"/>
      <sheetName val="PL_vs_ASP"/>
      <sheetName val="Report_Index"/>
      <sheetName val="Qtd_to_go"/>
      <sheetName val="Data_Opex"/>
      <sheetName val="Data_HC"/>
      <sheetName val="ISSG_GM"/>
      <sheetName val="Aging-DSO"/>
      <sheetName val="Units"/>
      <sheetName val="ABG"/>
      <sheetName val="ABG_GM"/>
      <sheetName val="Instructions"/>
      <sheetName val="Query1"/>
      <sheetName val="ValueTables"/>
      <sheetName val="Exchange_Rate"/>
      <sheetName val="Balance_Sheet"/>
      <sheetName val="HPS_GM"/>
      <sheetName val="Input"/>
      <sheetName val="Cover"/>
      <sheetName val="ISO_Country_Codes"/>
      <sheetName val="Assumptions"/>
      <sheetName val="Setup_Sheet"/>
      <sheetName val="PLQ2"/>
      <sheetName val="Criteria_Page"/>
      <sheetName val="Query2"/>
      <sheetName val="Q"/>
      <sheetName val="Q4_CURRENCY"/>
      <sheetName val="A"/>
      <sheetName val="Ent__Prod"/>
      <sheetName val="Funnel"/>
      <sheetName val="PIVOT"/>
      <sheetName val="FinanceFee"/>
      <sheetName val="Goal_Seek"/>
      <sheetName val="SOAR-FinOpinion"/>
      <sheetName val="AOQ"/>
      <sheetName val="Validation"/>
      <sheetName val="Lin_Tot"/>
      <sheetName val="WORKSHEET"/>
      <sheetName val="GSRR"/>
      <sheetName val="wkst"/>
      <sheetName val="NA_AUP"/>
      <sheetName val="OP_Qs"/>
      <sheetName val="OPEX_Bridge_Q1"/>
      <sheetName val="RevQ"/>
      <sheetName val="Q1_02"/>
      <sheetName val="Fp"/>
      <sheetName val="Query_Data"/>
      <sheetName val="Rev_Qs"/>
      <sheetName val="Staff_Assignments"/>
      <sheetName val="Summary_Schedule"/>
      <sheetName val="Global_Services"/>
      <sheetName val="PLQ1"/>
      <sheetName val="Storage_GM"/>
      <sheetName val="Table"/>
      <sheetName val="efw_Table"/>
      <sheetName val="Actual_Query"/>
      <sheetName val="Target_Query"/>
      <sheetName val="Rates"/>
      <sheetName val="TOTAL_GM"/>
      <sheetName val="wk_ct2"/>
      <sheetName val="WPS_ALLOC"/>
      <sheetName val="WPS_Exp_Refer"/>
      <sheetName val="Total Europe Calc. hours"/>
      <sheetName val="Total Europe 1"/>
      <sheetName val="Query"/>
      <sheetName val="Account"/>
      <sheetName val="Center"/>
      <sheetName val="Company"/>
      <sheetName val="AcctAnalysis"/>
      <sheetName val="Total Financials"/>
      <sheetName val="BW-FY06"/>
      <sheetName val="Mapping"/>
      <sheetName val="Core Table"/>
      <sheetName val="Essbase Auto Update"/>
      <sheetName val="Channel_09"/>
      <sheetName val="Channel_11Aspire"/>
      <sheetName val="Channel_10Final"/>
      <sheetName val="Market_09"/>
      <sheetName val="Market_10Final"/>
      <sheetName val="Market_11Aspire"/>
      <sheetName val="FY09"/>
      <sheetName val="FY10_Actuals"/>
      <sheetName val="FY11_Interlock"/>
      <sheetName val="Owned_09"/>
      <sheetName val="ownedDOI_09"/>
      <sheetName val="Owned_10_Final"/>
      <sheetName val="Static MShr"/>
      <sheetName val="Dropdown list"/>
      <sheetName val="Whouse Pull '06"/>
      <sheetName val="SWD RevGM vs Fls ASP"/>
      <sheetName val="BCSN GM Trend"/>
      <sheetName val="ISS GM Trend"/>
      <sheetName val="NED GM Trend"/>
      <sheetName val="SWD GM Trend"/>
      <sheetName val="BCSN NP Trend"/>
      <sheetName val="BCSN Rev Trend"/>
      <sheetName val="BCSN RevGM vs PQ PY"/>
      <sheetName val="BCSN RevGM vs Fls ASP"/>
      <sheetName val="ISS NP Trend"/>
      <sheetName val="ISS Rev Trend"/>
      <sheetName val="ISS RevGM vs PQ PY"/>
      <sheetName val="ISS RevGM vs Fls ASP"/>
      <sheetName val="NED NP Trend"/>
      <sheetName val="NED Rev Trend"/>
      <sheetName val="NED RevGM vs PQ PY"/>
      <sheetName val="NED RevGM vs Fls ASP"/>
      <sheetName val="SWD NP Trend"/>
      <sheetName val="SWD Rev Trend"/>
      <sheetName val="SWD RevGM vs PQ PY"/>
      <sheetName val="Values"/>
      <sheetName val="Coding"/>
      <sheetName val="LIST"/>
      <sheetName val="Parameters"/>
      <sheetName val="GOC SCS to LH CC mapping"/>
      <sheetName val="Accounts"/>
      <sheetName val="Roster.Quota"/>
      <sheetName val="Master系"/>
      <sheetName val="Lookup"/>
      <sheetName val="Drop down list"/>
      <sheetName val="Drop-Downs"/>
      <sheetName val="Sheet1"/>
      <sheetName val="- BACKUP - DROP DOWNS"/>
      <sheetName val="BU"/>
      <sheetName val="Masterdata"/>
      <sheetName val="Forecast+Actuals"/>
      <sheetName val="Pivot Analysis"/>
      <sheetName val="8L Frontlog check"/>
      <sheetName val="Flash call Pivot"/>
      <sheetName val="Margin Analisys"/>
      <sheetName val="Sheet3"/>
      <sheetName val="Sheet4"/>
      <sheetName val="8L Licences"/>
      <sheetName val="Frontlog"/>
      <sheetName val="FFYR"/>
      <sheetName val="Pipeline"/>
      <sheetName val="EMEA Subm"/>
      <sheetName val="Defs"/>
      <sheetName val="Configurations"/>
      <sheetName val="FCST vs prior"/>
      <sheetName val="Drop-Down"/>
      <sheetName val="Legend"/>
      <sheetName val="Data info"/>
      <sheetName val="dropdown values"/>
      <sheetName val="Key"/>
      <sheetName val="raw data"/>
      <sheetName val="Metadata"/>
      <sheetName val="Data Validation"/>
      <sheetName val="Settings"/>
      <sheetName val="Mappings"/>
      <sheetName val="Cover Sheet"/>
      <sheetName val="SFDC DATA and FORECAST"/>
      <sheetName val="Inputs"/>
      <sheetName val="Drop Down Lists"/>
      <sheetName val="Validations"/>
      <sheetName val="Reason of Movement"/>
      <sheetName val="Scoring"/>
      <sheetName val="DropDowns"/>
      <sheetName val="Report"/>
      <sheetName val="SFDC"/>
      <sheetName val="PDR"/>
      <sheetName val="Reference Lists"/>
      <sheetName val="Cate"/>
      <sheetName val="Acct_Project Information_MULTI"/>
      <sheetName val="Dashboard"/>
      <sheetName val="FoF"/>
      <sheetName val="Formulas"/>
      <sheetName val="Drop-Down and Vlookup"/>
      <sheetName val="Updated by"/>
      <sheetName val="combo"/>
      <sheetName val="Categories"/>
      <sheetName val="Control Panel"/>
      <sheetName val="Regions"/>
      <sheetName val="AE's"/>
      <sheetName val="FY16 FoF"/>
      <sheetName val="Report 1"/>
      <sheetName val="Instructions tab"/>
      <sheetName val="Judgement summary"/>
      <sheetName val="Lookups"/>
      <sheetName val="walk_categ"/>
      <sheetName val="Drop Down Menu"/>
      <sheetName val="Exception List Drop Down"/>
      <sheetName val="Drop down"/>
      <sheetName val="def"/>
      <sheetName val="Description_B. Justification"/>
      <sheetName val="FoF-FY16"/>
      <sheetName val=" FOF FY16"/>
      <sheetName val="Validation Tab"/>
      <sheetName val="reference"/>
      <sheetName val="ESM Program Roles"/>
      <sheetName val="DataValidation"/>
      <sheetName val="FoF FY16"/>
      <sheetName val="Setup"/>
      <sheetName val="ITO Lookups"/>
      <sheetName val="maping"/>
      <sheetName val="Pull Down Lists"/>
    </sheetNames>
    <sheetDataSet>
      <sheetData sheetId="0" refreshError="1">
        <row r="31">
          <cell r="A31" t="str">
            <v>H1450AA</v>
          </cell>
          <cell r="B31">
            <v>0</v>
          </cell>
          <cell r="C31" t="str">
            <v>D</v>
          </cell>
          <cell r="D31" t="str">
            <v>10</v>
          </cell>
          <cell r="E31" t="str">
            <v>0001 JAN00</v>
          </cell>
          <cell r="F31">
            <v>20827.8</v>
          </cell>
          <cell r="G31" t="str">
            <v>AMERICAS AMERICAS</v>
          </cell>
          <cell r="H31" t="str">
            <v>000 UNITED STATES</v>
          </cell>
        </row>
        <row r="32">
          <cell r="A32" t="str">
            <v>H1450AA</v>
          </cell>
          <cell r="B32">
            <v>0</v>
          </cell>
          <cell r="C32" t="str">
            <v>D</v>
          </cell>
          <cell r="D32" t="str">
            <v>10</v>
          </cell>
          <cell r="E32" t="str">
            <v>0001 JAN00</v>
          </cell>
          <cell r="F32">
            <v>38870.620000000003</v>
          </cell>
          <cell r="G32" t="str">
            <v>EUROPE EUROPE</v>
          </cell>
          <cell r="H32" t="str">
            <v>423 BELGIUM</v>
          </cell>
        </row>
        <row r="33">
          <cell r="A33" t="str">
            <v>H1450AA</v>
          </cell>
          <cell r="B33">
            <v>0</v>
          </cell>
          <cell r="C33" t="str">
            <v>D</v>
          </cell>
          <cell r="D33" t="str">
            <v>10</v>
          </cell>
          <cell r="E33" t="str">
            <v>0002 FEB00</v>
          </cell>
          <cell r="F33">
            <v>0</v>
          </cell>
          <cell r="G33" t="str">
            <v>AMERICAS AMERICAS</v>
          </cell>
          <cell r="H33" t="str">
            <v>000 UNITED STATES</v>
          </cell>
        </row>
        <row r="34">
          <cell r="A34" t="str">
            <v>H1450AA</v>
          </cell>
          <cell r="B34">
            <v>0</v>
          </cell>
          <cell r="C34" t="str">
            <v>D</v>
          </cell>
          <cell r="D34" t="str">
            <v>10</v>
          </cell>
          <cell r="E34" t="str">
            <v>0002 FEB00</v>
          </cell>
          <cell r="F34">
            <v>0</v>
          </cell>
          <cell r="G34" t="str">
            <v>EUROPE EUROPE</v>
          </cell>
          <cell r="H34" t="str">
            <v>428 GERMANY</v>
          </cell>
        </row>
        <row r="35">
          <cell r="A35" t="str">
            <v>H1450AA</v>
          </cell>
          <cell r="B35">
            <v>0</v>
          </cell>
          <cell r="C35" t="str">
            <v>D</v>
          </cell>
          <cell r="D35" t="str">
            <v>10</v>
          </cell>
          <cell r="E35" t="str">
            <v>9911 NOV99</v>
          </cell>
          <cell r="F35">
            <v>0</v>
          </cell>
          <cell r="G35" t="str">
            <v>AMERICAS AMERICAS</v>
          </cell>
          <cell r="H35" t="str">
            <v>000 UNITED STATES</v>
          </cell>
        </row>
        <row r="36">
          <cell r="A36" t="str">
            <v>H1450AA</v>
          </cell>
          <cell r="B36">
            <v>0</v>
          </cell>
          <cell r="C36" t="str">
            <v>D</v>
          </cell>
          <cell r="D36" t="str">
            <v>10</v>
          </cell>
          <cell r="E36" t="str">
            <v>9912 DEC99</v>
          </cell>
          <cell r="F36">
            <v>0</v>
          </cell>
          <cell r="G36" t="str">
            <v>AMERICAS AMERICAS</v>
          </cell>
          <cell r="H36" t="str">
            <v>000 UNITED STATES</v>
          </cell>
        </row>
        <row r="37">
          <cell r="A37" t="str">
            <v>H1450AA</v>
          </cell>
          <cell r="B37">
            <v>0</v>
          </cell>
          <cell r="C37" t="str">
            <v>V VALUE ADDED RESELLER(VAR)</v>
          </cell>
          <cell r="D37" t="str">
            <v>10</v>
          </cell>
          <cell r="E37" t="str">
            <v>0002 FEB00</v>
          </cell>
          <cell r="F37">
            <v>0</v>
          </cell>
          <cell r="G37" t="str">
            <v>AMERICAS AMERICAS</v>
          </cell>
          <cell r="H37" t="str">
            <v>000 UNITED STATES</v>
          </cell>
        </row>
        <row r="38">
          <cell r="A38" t="str">
            <v>H1450AA</v>
          </cell>
          <cell r="B38">
            <v>0</v>
          </cell>
          <cell r="C38" t="str">
            <v>V VALUE ADDED RESELLER(VAR)</v>
          </cell>
          <cell r="D38" t="str">
            <v>10</v>
          </cell>
          <cell r="E38" t="str">
            <v>9912 DEC99</v>
          </cell>
          <cell r="F38">
            <v>0</v>
          </cell>
          <cell r="G38" t="str">
            <v>AMERICAS AMERICAS</v>
          </cell>
          <cell r="H38" t="str">
            <v>000 UNITED STATES</v>
          </cell>
        </row>
        <row r="39">
          <cell r="A39" t="str">
            <v>MSTNTCLZ</v>
          </cell>
          <cell r="B39">
            <v>0</v>
          </cell>
          <cell r="C39" t="str">
            <v>D</v>
          </cell>
          <cell r="D39" t="str">
            <v>10</v>
          </cell>
          <cell r="E39" t="str">
            <v>0001 JAN00</v>
          </cell>
          <cell r="F39">
            <v>880.17</v>
          </cell>
          <cell r="G39" t="str">
            <v>EUROPE EUROPE</v>
          </cell>
          <cell r="H39" t="str">
            <v>428 GERMANY</v>
          </cell>
        </row>
        <row r="40">
          <cell r="A40" t="str">
            <v>MSTNTCLZ</v>
          </cell>
          <cell r="B40">
            <v>0</v>
          </cell>
          <cell r="C40" t="str">
            <v>D</v>
          </cell>
          <cell r="D40" t="str">
            <v>10</v>
          </cell>
          <cell r="E40" t="str">
            <v>0001 JAN00</v>
          </cell>
          <cell r="F40">
            <v>1983</v>
          </cell>
          <cell r="G40" t="str">
            <v>AMERICAS AMERICAS</v>
          </cell>
          <cell r="H40" t="str">
            <v>122 CANADA</v>
          </cell>
        </row>
        <row r="41">
          <cell r="A41" t="str">
            <v>MSTNTCLZ</v>
          </cell>
          <cell r="B41">
            <v>0</v>
          </cell>
          <cell r="C41" t="str">
            <v>D</v>
          </cell>
          <cell r="D41" t="str">
            <v>10</v>
          </cell>
          <cell r="E41" t="str">
            <v>0001 JAN00</v>
          </cell>
          <cell r="F41">
            <v>9363.1200000000008</v>
          </cell>
          <cell r="G41" t="str">
            <v>EUROPE EUROPE</v>
          </cell>
          <cell r="H41" t="str">
            <v>421 NETHERLANDS</v>
          </cell>
        </row>
        <row r="42">
          <cell r="A42" t="str">
            <v>MSTNTCLZ</v>
          </cell>
          <cell r="B42">
            <v>0</v>
          </cell>
          <cell r="C42" t="str">
            <v>D</v>
          </cell>
          <cell r="D42" t="str">
            <v>10</v>
          </cell>
          <cell r="E42" t="str">
            <v>0001 JAN00</v>
          </cell>
          <cell r="F42">
            <v>19284.349999999999</v>
          </cell>
          <cell r="G42" t="str">
            <v>AMERICAS AMERICAS</v>
          </cell>
          <cell r="H42" t="str">
            <v>000 UNITED STATES</v>
          </cell>
        </row>
        <row r="43">
          <cell r="A43" t="str">
            <v>MSTNTCLZ</v>
          </cell>
          <cell r="B43">
            <v>0</v>
          </cell>
          <cell r="C43" t="str">
            <v>D</v>
          </cell>
          <cell r="D43" t="str">
            <v>10</v>
          </cell>
          <cell r="E43" t="str">
            <v>0001 JAN00</v>
          </cell>
          <cell r="F43">
            <v>20269.62</v>
          </cell>
          <cell r="G43" t="str">
            <v>EUROPE EUROPE</v>
          </cell>
          <cell r="H43" t="str">
            <v>423 BELGIUM</v>
          </cell>
        </row>
        <row r="44">
          <cell r="A44" t="str">
            <v>MSTNTCLZ</v>
          </cell>
          <cell r="B44">
            <v>0</v>
          </cell>
          <cell r="C44" t="str">
            <v>D</v>
          </cell>
          <cell r="D44" t="str">
            <v>10</v>
          </cell>
          <cell r="E44" t="str">
            <v>0002 FEB00</v>
          </cell>
          <cell r="F44">
            <v>2697.72</v>
          </cell>
          <cell r="G44" t="str">
            <v>AMERICAS AMERICAS</v>
          </cell>
          <cell r="H44" t="str">
            <v>000 UNITED STATES</v>
          </cell>
        </row>
        <row r="45">
          <cell r="A45" t="str">
            <v>MSTNTCLZ</v>
          </cell>
          <cell r="B45">
            <v>0</v>
          </cell>
          <cell r="C45" t="str">
            <v>D</v>
          </cell>
          <cell r="D45" t="str">
            <v>10</v>
          </cell>
          <cell r="E45" t="str">
            <v>9911 NOV99</v>
          </cell>
          <cell r="F45">
            <v>85.44</v>
          </cell>
          <cell r="G45" t="str">
            <v>AMERICAS AMERICAS</v>
          </cell>
          <cell r="H45" t="str">
            <v>000 UNITED STATES</v>
          </cell>
        </row>
        <row r="46">
          <cell r="A46" t="str">
            <v>MSTNTCLZ</v>
          </cell>
          <cell r="B46">
            <v>0</v>
          </cell>
          <cell r="C46" t="str">
            <v>D</v>
          </cell>
          <cell r="D46" t="str">
            <v>10</v>
          </cell>
          <cell r="E46" t="str">
            <v>9911 NOV99</v>
          </cell>
          <cell r="F46">
            <v>2801.32</v>
          </cell>
          <cell r="G46" t="str">
            <v>EUROPE EUROPE</v>
          </cell>
          <cell r="H46" t="str">
            <v>423 BELGIUM</v>
          </cell>
        </row>
        <row r="47">
          <cell r="A47" t="str">
            <v>MSTNTCLZ</v>
          </cell>
          <cell r="B47">
            <v>0</v>
          </cell>
          <cell r="C47" t="str">
            <v>D</v>
          </cell>
          <cell r="D47" t="str">
            <v>10</v>
          </cell>
          <cell r="E47" t="str">
            <v>9912 DEC99</v>
          </cell>
          <cell r="F47">
            <v>445.44</v>
          </cell>
          <cell r="G47" t="str">
            <v>AMERICAS AMERICAS</v>
          </cell>
          <cell r="H47" t="str">
            <v>122 CANADA</v>
          </cell>
        </row>
        <row r="48">
          <cell r="A48" t="str">
            <v>MSTNTCLZ</v>
          </cell>
          <cell r="B48">
            <v>0</v>
          </cell>
          <cell r="C48" t="str">
            <v>D</v>
          </cell>
          <cell r="D48" t="str">
            <v>10</v>
          </cell>
          <cell r="E48" t="str">
            <v>9912 DEC99</v>
          </cell>
          <cell r="F48">
            <v>1989.97</v>
          </cell>
          <cell r="G48" t="str">
            <v>EUROPE EUROPE</v>
          </cell>
          <cell r="H48" t="str">
            <v>423 BELGIUM</v>
          </cell>
        </row>
        <row r="49">
          <cell r="A49" t="str">
            <v>MSTNTCLZ</v>
          </cell>
          <cell r="B49">
            <v>0</v>
          </cell>
          <cell r="C49" t="str">
            <v>D</v>
          </cell>
          <cell r="D49" t="str">
            <v>10</v>
          </cell>
          <cell r="E49" t="str">
            <v>9912 DEC99</v>
          </cell>
          <cell r="F49">
            <v>33622.54</v>
          </cell>
          <cell r="G49" t="str">
            <v>AMERICAS AMERICAS</v>
          </cell>
          <cell r="H49" t="str">
            <v>000 UNITED STATES</v>
          </cell>
        </row>
        <row r="50">
          <cell r="A50" t="str">
            <v>MSTNTCLZ</v>
          </cell>
          <cell r="B50">
            <v>0</v>
          </cell>
          <cell r="C50" t="str">
            <v>V VALUE ADDED RESELLER(VAR)</v>
          </cell>
          <cell r="D50" t="str">
            <v>10</v>
          </cell>
          <cell r="E50" t="str">
            <v>0002 FEB00</v>
          </cell>
          <cell r="F50">
            <v>4459.2</v>
          </cell>
          <cell r="G50" t="str">
            <v>AMERICAS AMERICAS</v>
          </cell>
          <cell r="H50" t="str">
            <v>000 UNITED STATES</v>
          </cell>
        </row>
        <row r="51">
          <cell r="A51" t="str">
            <v>MSTNTCLZ</v>
          </cell>
          <cell r="B51">
            <v>0</v>
          </cell>
          <cell r="C51" t="str">
            <v>V VALUE ADDED RESELLER(VAR)</v>
          </cell>
          <cell r="D51" t="str">
            <v>10</v>
          </cell>
          <cell r="E51" t="str">
            <v>9912 DEC99</v>
          </cell>
          <cell r="F51">
            <v>202.5</v>
          </cell>
          <cell r="G51" t="str">
            <v>AMERICAS AMERICAS</v>
          </cell>
          <cell r="H51" t="str">
            <v>000 UNITED STATES</v>
          </cell>
        </row>
        <row r="52">
          <cell r="A52" t="str">
            <v>MSTOSNUZ</v>
          </cell>
          <cell r="B52">
            <v>-1</v>
          </cell>
          <cell r="C52" t="str">
            <v>D</v>
          </cell>
          <cell r="D52" t="str">
            <v>10</v>
          </cell>
          <cell r="E52" t="str">
            <v>0001 JAN00</v>
          </cell>
          <cell r="F52">
            <v>-1419.38</v>
          </cell>
          <cell r="G52" t="str">
            <v>EUROPE EUROPE</v>
          </cell>
          <cell r="H52" t="str">
            <v>475 ITALY</v>
          </cell>
        </row>
        <row r="53">
          <cell r="A53" t="str">
            <v>MSTOSNUZ</v>
          </cell>
          <cell r="B53">
            <v>0</v>
          </cell>
          <cell r="C53" t="str">
            <v>D</v>
          </cell>
          <cell r="D53" t="str">
            <v>10</v>
          </cell>
          <cell r="E53" t="str">
            <v>0001 JAN00</v>
          </cell>
          <cell r="F53">
            <v>587.04</v>
          </cell>
          <cell r="G53" t="str">
            <v>AMERICAS AMERICAS</v>
          </cell>
          <cell r="H53" t="str">
            <v>122 CANADA</v>
          </cell>
        </row>
        <row r="54">
          <cell r="A54" t="str">
            <v>MSTOSNUZ</v>
          </cell>
          <cell r="B54">
            <v>0</v>
          </cell>
          <cell r="C54" t="str">
            <v>D</v>
          </cell>
          <cell r="D54" t="str">
            <v>10</v>
          </cell>
          <cell r="E54" t="str">
            <v>0001 JAN00</v>
          </cell>
          <cell r="F54">
            <v>15643.53</v>
          </cell>
          <cell r="G54" t="str">
            <v>EUROPE EUROPE</v>
          </cell>
          <cell r="H54" t="str">
            <v>421 NETHERLANDS</v>
          </cell>
        </row>
        <row r="55">
          <cell r="A55" t="str">
            <v>MSTOSNUZ</v>
          </cell>
          <cell r="B55">
            <v>0</v>
          </cell>
          <cell r="C55" t="str">
            <v>D</v>
          </cell>
          <cell r="D55" t="str">
            <v>10</v>
          </cell>
          <cell r="E55" t="str">
            <v>0001 JAN00</v>
          </cell>
          <cell r="F55">
            <v>22303.86</v>
          </cell>
          <cell r="G55" t="str">
            <v>EUROPE EUROPE</v>
          </cell>
          <cell r="H55" t="str">
            <v>423 BELGIUM</v>
          </cell>
        </row>
        <row r="56">
          <cell r="A56" t="str">
            <v>MSTOSNUZ</v>
          </cell>
          <cell r="B56">
            <v>0</v>
          </cell>
          <cell r="C56" t="str">
            <v>D</v>
          </cell>
          <cell r="D56" t="str">
            <v>10</v>
          </cell>
          <cell r="E56" t="str">
            <v>0001 JAN00</v>
          </cell>
          <cell r="F56">
            <v>75032.28</v>
          </cell>
          <cell r="G56" t="str">
            <v>AMERICAS AMERICAS</v>
          </cell>
          <cell r="H56" t="str">
            <v>000 UNITED STATES</v>
          </cell>
        </row>
        <row r="57">
          <cell r="A57" t="str">
            <v>MSTOSNUZ</v>
          </cell>
          <cell r="B57">
            <v>0</v>
          </cell>
          <cell r="C57" t="str">
            <v>D</v>
          </cell>
          <cell r="D57" t="str">
            <v>10</v>
          </cell>
          <cell r="E57" t="str">
            <v>0002 FEB00</v>
          </cell>
          <cell r="F57">
            <v>74383.45</v>
          </cell>
          <cell r="G57" t="str">
            <v>AMERICAS AMERICAS</v>
          </cell>
          <cell r="H57" t="str">
            <v>000 UNITED STATES</v>
          </cell>
        </row>
        <row r="58">
          <cell r="A58" t="str">
            <v>MSTOSNUZ</v>
          </cell>
          <cell r="B58">
            <v>0</v>
          </cell>
          <cell r="C58" t="str">
            <v>D</v>
          </cell>
          <cell r="D58" t="str">
            <v>10</v>
          </cell>
          <cell r="E58" t="str">
            <v>9911 NOV99</v>
          </cell>
          <cell r="F58">
            <v>0</v>
          </cell>
          <cell r="G58" t="str">
            <v>ASIA/PAC ASIA/PAC</v>
          </cell>
          <cell r="H58" t="str">
            <v>570 CHINA, PEOPLES REPUBLIC</v>
          </cell>
        </row>
        <row r="59">
          <cell r="A59" t="str">
            <v>MSTOSNUZ</v>
          </cell>
          <cell r="B59">
            <v>0</v>
          </cell>
          <cell r="C59" t="str">
            <v>D</v>
          </cell>
          <cell r="D59" t="str">
            <v>10</v>
          </cell>
          <cell r="E59" t="str">
            <v>9911 NOV99</v>
          </cell>
          <cell r="F59">
            <v>200.01</v>
          </cell>
          <cell r="G59" t="str">
            <v>ASIA/PAC ASIA/PAC</v>
          </cell>
          <cell r="H59" t="str">
            <v>588 JAPAN</v>
          </cell>
        </row>
        <row r="60">
          <cell r="A60" t="str">
            <v>MSTOSNUZ</v>
          </cell>
          <cell r="B60">
            <v>0</v>
          </cell>
          <cell r="C60" t="str">
            <v>D</v>
          </cell>
          <cell r="D60" t="str">
            <v>10</v>
          </cell>
          <cell r="E60" t="str">
            <v>9911 NOV99</v>
          </cell>
          <cell r="F60">
            <v>5184.03</v>
          </cell>
          <cell r="G60" t="str">
            <v>EUROPE EUROPE</v>
          </cell>
          <cell r="H60" t="str">
            <v>423 BELGIUM</v>
          </cell>
        </row>
        <row r="61">
          <cell r="A61" t="str">
            <v>MSTOSNUZ</v>
          </cell>
          <cell r="B61">
            <v>0</v>
          </cell>
          <cell r="C61" t="str">
            <v>D</v>
          </cell>
          <cell r="D61" t="str">
            <v>10</v>
          </cell>
          <cell r="E61" t="str">
            <v>9911 NOV99</v>
          </cell>
          <cell r="F61">
            <v>31831.79</v>
          </cell>
          <cell r="G61" t="str">
            <v>AMERICAS AMERICAS</v>
          </cell>
          <cell r="H61" t="str">
            <v>000 UNITED STATES</v>
          </cell>
        </row>
        <row r="62">
          <cell r="A62" t="str">
            <v>MSTOSNUZ</v>
          </cell>
          <cell r="B62">
            <v>0</v>
          </cell>
          <cell r="C62" t="str">
            <v>D</v>
          </cell>
          <cell r="D62" t="str">
            <v>10</v>
          </cell>
          <cell r="E62" t="str">
            <v>9912 DEC99</v>
          </cell>
          <cell r="F62">
            <v>1371</v>
          </cell>
          <cell r="G62" t="str">
            <v>AMERICAS AMERICAS</v>
          </cell>
          <cell r="H62" t="str">
            <v>122 CANADA</v>
          </cell>
        </row>
        <row r="63">
          <cell r="A63" t="str">
            <v>MSTOSNUZ</v>
          </cell>
          <cell r="B63">
            <v>0</v>
          </cell>
          <cell r="C63" t="str">
            <v>D</v>
          </cell>
          <cell r="D63" t="str">
            <v>10</v>
          </cell>
          <cell r="E63" t="str">
            <v>9912 DEC99</v>
          </cell>
          <cell r="F63">
            <v>69232.94</v>
          </cell>
          <cell r="G63" t="str">
            <v>AMERICAS AMERICAS</v>
          </cell>
          <cell r="H63" t="str">
            <v>000 UNITED STATES</v>
          </cell>
        </row>
        <row r="64">
          <cell r="A64" t="str">
            <v>MSTOSNUZ</v>
          </cell>
          <cell r="B64">
            <v>0</v>
          </cell>
          <cell r="C64" t="str">
            <v>D</v>
          </cell>
          <cell r="D64" t="str">
            <v>10</v>
          </cell>
          <cell r="E64" t="str">
            <v>9912 DEC99</v>
          </cell>
          <cell r="F64">
            <v>80877.3</v>
          </cell>
          <cell r="G64" t="str">
            <v>EUROPE EUROPE</v>
          </cell>
          <cell r="H64" t="str">
            <v>423 BELGIUM</v>
          </cell>
        </row>
        <row r="65">
          <cell r="A65" t="str">
            <v>MSTOSNUZ</v>
          </cell>
          <cell r="B65">
            <v>0</v>
          </cell>
          <cell r="C65" t="str">
            <v>D</v>
          </cell>
          <cell r="D65" t="str">
            <v>21</v>
          </cell>
          <cell r="E65" t="str">
            <v>9911 NOV99</v>
          </cell>
          <cell r="F65">
            <v>0</v>
          </cell>
          <cell r="G65" t="str">
            <v>ASIA/PAC ASIA/PAC</v>
          </cell>
          <cell r="H65" t="str">
            <v>588 JAPAN</v>
          </cell>
        </row>
        <row r="66">
          <cell r="A66" t="str">
            <v>MSTOSNUZ</v>
          </cell>
          <cell r="B66">
            <v>0</v>
          </cell>
          <cell r="C66" t="str">
            <v>V VALUE ADDED RESELLER(VAR)</v>
          </cell>
          <cell r="D66" t="str">
            <v>10</v>
          </cell>
          <cell r="E66" t="str">
            <v>0002 FEB00</v>
          </cell>
          <cell r="F66">
            <v>5924.4</v>
          </cell>
          <cell r="G66" t="str">
            <v>AMERICAS AMERICAS</v>
          </cell>
          <cell r="H66" t="str">
            <v>000 UNITED STATES</v>
          </cell>
        </row>
        <row r="67">
          <cell r="A67" t="str">
            <v>MSTOSNUZ</v>
          </cell>
          <cell r="B67">
            <v>0</v>
          </cell>
          <cell r="C67" t="str">
            <v>V VALUE ADDED RESELLER(VAR)</v>
          </cell>
          <cell r="D67" t="str">
            <v>10</v>
          </cell>
          <cell r="E67" t="str">
            <v>9911 NOV99</v>
          </cell>
          <cell r="F67">
            <v>0</v>
          </cell>
          <cell r="G67" t="str">
            <v>AMERICAS AMERICAS</v>
          </cell>
          <cell r="H67" t="str">
            <v>000 UNITED STATES</v>
          </cell>
        </row>
        <row r="68">
          <cell r="A68" t="str">
            <v>MSTOSNUZ</v>
          </cell>
          <cell r="B68">
            <v>0</v>
          </cell>
          <cell r="C68" t="str">
            <v>V VALUE ADDED RESELLER(VAR)</v>
          </cell>
          <cell r="D68" t="str">
            <v>10</v>
          </cell>
          <cell r="E68" t="str">
            <v>9912 DEC99</v>
          </cell>
          <cell r="F68">
            <v>4765.5</v>
          </cell>
          <cell r="G68" t="str">
            <v>AMERICAS AMERICAS</v>
          </cell>
          <cell r="H68" t="str">
            <v>000 UNITED STATES</v>
          </cell>
        </row>
        <row r="69">
          <cell r="A69" t="str">
            <v>NOVOSAAZ</v>
          </cell>
          <cell r="B69">
            <v>0</v>
          </cell>
          <cell r="C69" t="str">
            <v>D</v>
          </cell>
          <cell r="D69" t="str">
            <v>10</v>
          </cell>
          <cell r="E69" t="str">
            <v>0001 JAN00</v>
          </cell>
          <cell r="F69">
            <v>0</v>
          </cell>
          <cell r="G69" t="str">
            <v>EUROPE EUROPE</v>
          </cell>
          <cell r="H69" t="str">
            <v>427 FRANCE</v>
          </cell>
        </row>
        <row r="70">
          <cell r="A70" t="str">
            <v>NOVOSAAZ</v>
          </cell>
          <cell r="B70">
            <v>0</v>
          </cell>
          <cell r="C70" t="str">
            <v>D</v>
          </cell>
          <cell r="D70" t="str">
            <v>10</v>
          </cell>
          <cell r="E70" t="str">
            <v>0001 JAN00</v>
          </cell>
          <cell r="F70">
            <v>676.2</v>
          </cell>
          <cell r="G70" t="str">
            <v>EUROPE EUROPE</v>
          </cell>
          <cell r="H70" t="str">
            <v>412 UNITED KINGDOM</v>
          </cell>
        </row>
        <row r="71">
          <cell r="A71" t="str">
            <v>NOVOSAAZ</v>
          </cell>
          <cell r="B71">
            <v>0</v>
          </cell>
          <cell r="C71" t="str">
            <v>D</v>
          </cell>
          <cell r="D71" t="str">
            <v>10</v>
          </cell>
          <cell r="E71" t="str">
            <v>0001 JAN00</v>
          </cell>
          <cell r="F71">
            <v>2180.63</v>
          </cell>
          <cell r="G71" t="str">
            <v>EUROPE EUROPE</v>
          </cell>
          <cell r="H71" t="str">
            <v>423 BELGIUM</v>
          </cell>
        </row>
        <row r="72">
          <cell r="A72" t="str">
            <v>NOVOSAAZ</v>
          </cell>
          <cell r="B72">
            <v>0</v>
          </cell>
          <cell r="C72" t="str">
            <v>D</v>
          </cell>
          <cell r="D72" t="str">
            <v>10</v>
          </cell>
          <cell r="E72" t="str">
            <v>0001 JAN00</v>
          </cell>
          <cell r="F72">
            <v>6893.24</v>
          </cell>
          <cell r="G72" t="str">
            <v>AMERICAS AMERICAS</v>
          </cell>
          <cell r="H72" t="str">
            <v>000 UNITED STATES</v>
          </cell>
        </row>
        <row r="73">
          <cell r="A73" t="str">
            <v>NOVOSAAZ</v>
          </cell>
          <cell r="B73">
            <v>0</v>
          </cell>
          <cell r="C73" t="str">
            <v>D</v>
          </cell>
          <cell r="D73" t="str">
            <v>10</v>
          </cell>
          <cell r="E73" t="str">
            <v>0002 FEB00</v>
          </cell>
          <cell r="F73">
            <v>432</v>
          </cell>
          <cell r="G73" t="str">
            <v>AMERICAS AMERICAS</v>
          </cell>
          <cell r="H73" t="str">
            <v>000 UNITED STATES</v>
          </cell>
        </row>
        <row r="74">
          <cell r="A74" t="str">
            <v>NOVOSAAZ</v>
          </cell>
          <cell r="B74">
            <v>0</v>
          </cell>
          <cell r="C74" t="str">
            <v>D</v>
          </cell>
          <cell r="D74" t="str">
            <v>10</v>
          </cell>
          <cell r="E74" t="str">
            <v>9911 NOV99</v>
          </cell>
          <cell r="F74">
            <v>936</v>
          </cell>
          <cell r="G74" t="str">
            <v>AMERICAS AMERICAS</v>
          </cell>
          <cell r="H74" t="str">
            <v>000 UNITED STATES</v>
          </cell>
        </row>
        <row r="75">
          <cell r="A75" t="str">
            <v>NOVOSAAZ</v>
          </cell>
          <cell r="B75">
            <v>0</v>
          </cell>
          <cell r="C75" t="str">
            <v>D</v>
          </cell>
          <cell r="D75" t="str">
            <v>10</v>
          </cell>
          <cell r="E75" t="str">
            <v>9912 DEC99</v>
          </cell>
          <cell r="F75">
            <v>12911.85</v>
          </cell>
          <cell r="G75" t="str">
            <v>AMERICAS AMERICAS</v>
          </cell>
          <cell r="H75" t="str">
            <v>000 UNITED STATES</v>
          </cell>
        </row>
        <row r="76">
          <cell r="A76" t="str">
            <v>NOVOSAAZ</v>
          </cell>
          <cell r="B76">
            <v>0</v>
          </cell>
          <cell r="C76" t="str">
            <v>S DISTRIBUTOR/WHOLESALER</v>
          </cell>
          <cell r="D76" t="str">
            <v>10</v>
          </cell>
          <cell r="E76" t="str">
            <v>9912 DEC99</v>
          </cell>
          <cell r="F76">
            <v>50.32</v>
          </cell>
          <cell r="G76" t="str">
            <v>AMERICAS AMERICAS</v>
          </cell>
          <cell r="H76" t="str">
            <v>000 UNITED STATES</v>
          </cell>
        </row>
        <row r="77">
          <cell r="A77" t="str">
            <v>NOVOSCLZ</v>
          </cell>
          <cell r="B77">
            <v>0</v>
          </cell>
          <cell r="C77" t="str">
            <v>D</v>
          </cell>
          <cell r="D77" t="str">
            <v>10</v>
          </cell>
          <cell r="E77" t="str">
            <v>0001 JAN00</v>
          </cell>
          <cell r="F77">
            <v>-100</v>
          </cell>
          <cell r="G77" t="str">
            <v>AMERICAS AMERICAS</v>
          </cell>
          <cell r="H77" t="str">
            <v>000 UNITED STATES</v>
          </cell>
        </row>
        <row r="78">
          <cell r="A78" t="str">
            <v>NOVOSCLZ</v>
          </cell>
          <cell r="B78">
            <v>0</v>
          </cell>
          <cell r="C78" t="str">
            <v>D</v>
          </cell>
          <cell r="D78" t="str">
            <v>10</v>
          </cell>
          <cell r="E78" t="str">
            <v>0001 JAN00</v>
          </cell>
          <cell r="F78">
            <v>1932</v>
          </cell>
          <cell r="G78" t="str">
            <v>EUROPE EUROPE</v>
          </cell>
          <cell r="H78" t="str">
            <v>412 UNITED KINGDOM</v>
          </cell>
        </row>
        <row r="79">
          <cell r="A79" t="str">
            <v>NOVOSCLZ</v>
          </cell>
          <cell r="B79">
            <v>0</v>
          </cell>
          <cell r="C79" t="str">
            <v>D</v>
          </cell>
          <cell r="D79" t="str">
            <v>10</v>
          </cell>
          <cell r="E79" t="str">
            <v>0001 JAN00</v>
          </cell>
          <cell r="F79">
            <v>2171.81</v>
          </cell>
          <cell r="G79" t="str">
            <v>EUROPE EUROPE</v>
          </cell>
          <cell r="H79" t="str">
            <v>423 BELGIUM</v>
          </cell>
        </row>
        <row r="80">
          <cell r="A80" t="str">
            <v>NOVOSCLZ</v>
          </cell>
          <cell r="B80">
            <v>0</v>
          </cell>
          <cell r="C80" t="str">
            <v>D</v>
          </cell>
          <cell r="D80" t="str">
            <v>10</v>
          </cell>
          <cell r="E80" t="str">
            <v>0002 FEB00</v>
          </cell>
          <cell r="F80">
            <v>2880</v>
          </cell>
          <cell r="G80" t="str">
            <v>AMERICAS AMERICAS</v>
          </cell>
          <cell r="H80" t="str">
            <v>000 UNITED STATES</v>
          </cell>
        </row>
        <row r="81">
          <cell r="A81" t="str">
            <v>NOVOSCLZ</v>
          </cell>
          <cell r="B81">
            <v>0</v>
          </cell>
          <cell r="C81" t="str">
            <v>D</v>
          </cell>
          <cell r="D81" t="str">
            <v>10</v>
          </cell>
          <cell r="E81" t="str">
            <v>9912 DEC99</v>
          </cell>
          <cell r="F81">
            <v>-969.84</v>
          </cell>
          <cell r="G81" t="str">
            <v>AMERICAS AMERICAS</v>
          </cell>
          <cell r="H81" t="str">
            <v>000 UNITED STATES</v>
          </cell>
        </row>
        <row r="82">
          <cell r="A82" t="str">
            <v>H1631AA</v>
          </cell>
          <cell r="B82">
            <v>25</v>
          </cell>
          <cell r="C82" t="str">
            <v>D</v>
          </cell>
          <cell r="D82" t="str">
            <v>10</v>
          </cell>
          <cell r="E82" t="str">
            <v>9911 NOV99</v>
          </cell>
          <cell r="F82">
            <v>14306.9</v>
          </cell>
          <cell r="G82" t="str">
            <v>EUROPE EUROPE</v>
          </cell>
          <cell r="H82" t="str">
            <v>428 GERMANY</v>
          </cell>
        </row>
        <row r="83">
          <cell r="A83" t="str">
            <v>H1631AA</v>
          </cell>
          <cell r="B83">
            <v>36</v>
          </cell>
          <cell r="C83" t="str">
            <v>D</v>
          </cell>
          <cell r="D83" t="str">
            <v>10</v>
          </cell>
          <cell r="E83" t="str">
            <v>0002 FEB00</v>
          </cell>
          <cell r="F83">
            <v>62321.760000000002</v>
          </cell>
          <cell r="G83" t="str">
            <v>EUROPE EUROPE</v>
          </cell>
          <cell r="H83" t="str">
            <v>428 GERMANY</v>
          </cell>
        </row>
        <row r="84">
          <cell r="A84" t="str">
            <v>H1631AA</v>
          </cell>
          <cell r="B84">
            <v>61</v>
          </cell>
          <cell r="C84" t="str">
            <v>D</v>
          </cell>
          <cell r="D84" t="str">
            <v>10</v>
          </cell>
          <cell r="E84" t="str">
            <v>9912 DEC99</v>
          </cell>
          <cell r="F84">
            <v>79027.19</v>
          </cell>
          <cell r="G84" t="str">
            <v>EUROPE EUROPE</v>
          </cell>
          <cell r="H84" t="str">
            <v>428 GERMANY</v>
          </cell>
        </row>
        <row r="85">
          <cell r="A85" t="str">
            <v>H1631AA</v>
          </cell>
          <cell r="B85">
            <v>109</v>
          </cell>
          <cell r="C85" t="str">
            <v>D</v>
          </cell>
          <cell r="D85" t="str">
            <v>10</v>
          </cell>
          <cell r="E85" t="str">
            <v>0001 JAN00</v>
          </cell>
          <cell r="F85">
            <v>223818.76</v>
          </cell>
          <cell r="G85" t="str">
            <v>EUROPE EUROPE</v>
          </cell>
          <cell r="H85" t="str">
            <v>428 GERMANY</v>
          </cell>
        </row>
        <row r="86">
          <cell r="A86" t="str">
            <v>H5356A</v>
          </cell>
          <cell r="B86">
            <v>-3</v>
          </cell>
          <cell r="C86" t="str">
            <v>D</v>
          </cell>
          <cell r="D86" t="str">
            <v>10</v>
          </cell>
          <cell r="E86" t="str">
            <v>9911 NOV99</v>
          </cell>
          <cell r="F86">
            <v>-456.48</v>
          </cell>
          <cell r="G86" t="str">
            <v>EUROPE EUROPE</v>
          </cell>
          <cell r="H86" t="str">
            <v>423 BELGIUM</v>
          </cell>
        </row>
        <row r="87">
          <cell r="A87" t="str">
            <v>H5356A</v>
          </cell>
          <cell r="B87">
            <v>-1</v>
          </cell>
          <cell r="C87" t="str">
            <v>V VALUE ADDED RESELLER(VAR)</v>
          </cell>
          <cell r="D87" t="str">
            <v>10</v>
          </cell>
          <cell r="E87" t="str">
            <v>0002 FEB00</v>
          </cell>
          <cell r="F87">
            <v>-301.66000000000003</v>
          </cell>
          <cell r="G87" t="str">
            <v>EUROPE EUROPE</v>
          </cell>
          <cell r="H87" t="str">
            <v>427 FRANCE</v>
          </cell>
        </row>
        <row r="88">
          <cell r="A88" t="str">
            <v>H5356A</v>
          </cell>
          <cell r="B88">
            <v>-1</v>
          </cell>
          <cell r="C88" t="str">
            <v>V VALUE ADDED RESELLER(VAR)</v>
          </cell>
          <cell r="D88" t="str">
            <v>10</v>
          </cell>
          <cell r="E88" t="str">
            <v>9912 DEC99</v>
          </cell>
          <cell r="F88">
            <v>-371.02</v>
          </cell>
          <cell r="G88" t="str">
            <v>EUROPE EUROPE</v>
          </cell>
          <cell r="H88" t="str">
            <v>427 FRANCE</v>
          </cell>
        </row>
        <row r="89">
          <cell r="A89" t="str">
            <v>H5356A</v>
          </cell>
          <cell r="B89">
            <v>0</v>
          </cell>
          <cell r="C89" t="str">
            <v>D</v>
          </cell>
          <cell r="D89" t="str">
            <v>10</v>
          </cell>
          <cell r="E89" t="str">
            <v>0001 JAN00</v>
          </cell>
          <cell r="F89">
            <v>-1382.64</v>
          </cell>
          <cell r="G89" t="str">
            <v>ASIA/PAC ASIA/PAC</v>
          </cell>
          <cell r="H89" t="str">
            <v>602 AUSTRALIA</v>
          </cell>
        </row>
        <row r="90">
          <cell r="A90" t="str">
            <v>H5356A</v>
          </cell>
          <cell r="B90">
            <v>0</v>
          </cell>
          <cell r="C90" t="str">
            <v>D</v>
          </cell>
          <cell r="D90" t="str">
            <v>10</v>
          </cell>
          <cell r="E90" t="str">
            <v>0001 JAN00</v>
          </cell>
          <cell r="F90">
            <v>0</v>
          </cell>
          <cell r="G90" t="str">
            <v>ASIA/PAC ASIA/PAC</v>
          </cell>
          <cell r="H90" t="str">
            <v>559 SINGAPORE</v>
          </cell>
        </row>
        <row r="91">
          <cell r="A91" t="str">
            <v>H5356A</v>
          </cell>
          <cell r="B91">
            <v>0</v>
          </cell>
          <cell r="C91" t="str">
            <v>D</v>
          </cell>
          <cell r="D91" t="str">
            <v>10</v>
          </cell>
          <cell r="E91" t="str">
            <v>0001 JAN00</v>
          </cell>
          <cell r="F91">
            <v>0</v>
          </cell>
          <cell r="G91" t="str">
            <v>EUROPE EUROPE</v>
          </cell>
          <cell r="H91" t="str">
            <v>471 PORTUGAL</v>
          </cell>
        </row>
        <row r="92">
          <cell r="A92" t="str">
            <v>H5356A</v>
          </cell>
          <cell r="B92">
            <v>0</v>
          </cell>
          <cell r="C92" t="str">
            <v>D</v>
          </cell>
          <cell r="D92" t="str">
            <v>10</v>
          </cell>
          <cell r="E92" t="str">
            <v>0001 JAN00</v>
          </cell>
          <cell r="F92">
            <v>11747.4</v>
          </cell>
          <cell r="G92" t="str">
            <v>ASIA/PAC ASIA/PAC</v>
          </cell>
          <cell r="H92" t="str">
            <v>557 MALAYSIA</v>
          </cell>
        </row>
        <row r="93">
          <cell r="A93" t="str">
            <v>H5356A</v>
          </cell>
          <cell r="B93">
            <v>0</v>
          </cell>
          <cell r="C93" t="str">
            <v>D</v>
          </cell>
          <cell r="D93" t="str">
            <v>10</v>
          </cell>
          <cell r="E93" t="str">
            <v>0001 JAN00</v>
          </cell>
          <cell r="F93">
            <v>27021</v>
          </cell>
          <cell r="G93" t="str">
            <v>ASIA/PAC ASIA/PAC</v>
          </cell>
          <cell r="H93" t="str">
            <v>570 CHINA, PEOPLES REPUBLIC</v>
          </cell>
        </row>
        <row r="94">
          <cell r="A94" t="str">
            <v>H5356A</v>
          </cell>
          <cell r="B94">
            <v>0</v>
          </cell>
          <cell r="C94" t="str">
            <v>D</v>
          </cell>
          <cell r="D94" t="str">
            <v>10</v>
          </cell>
          <cell r="E94" t="str">
            <v>0001 JAN00</v>
          </cell>
          <cell r="F94">
            <v>35346.720000000001</v>
          </cell>
          <cell r="G94" t="str">
            <v>ASIA/PAC ASIA/PAC</v>
          </cell>
          <cell r="H94" t="str">
            <v>580 KOREA, REPUBLIC OF (SOUTH)</v>
          </cell>
        </row>
        <row r="95">
          <cell r="A95" t="str">
            <v>H5356A</v>
          </cell>
          <cell r="B95">
            <v>0</v>
          </cell>
          <cell r="C95" t="str">
            <v>D</v>
          </cell>
          <cell r="D95" t="str">
            <v>10</v>
          </cell>
          <cell r="E95" t="str">
            <v>0001 JAN00</v>
          </cell>
          <cell r="F95">
            <v>49271.58</v>
          </cell>
          <cell r="G95" t="str">
            <v>ASIA/PAC ASIA/PAC</v>
          </cell>
          <cell r="H95" t="str">
            <v>588 JAPAN</v>
          </cell>
        </row>
        <row r="96">
          <cell r="A96" t="str">
            <v>H5356A</v>
          </cell>
          <cell r="B96">
            <v>0</v>
          </cell>
          <cell r="C96" t="str">
            <v>D</v>
          </cell>
          <cell r="D96" t="str">
            <v>10</v>
          </cell>
          <cell r="E96" t="str">
            <v>0002 FEB00</v>
          </cell>
          <cell r="F96">
            <v>7137.36</v>
          </cell>
          <cell r="G96" t="str">
            <v>ASIA/PAC ASIA/PAC</v>
          </cell>
          <cell r="H96" t="str">
            <v>580 KOREA, REPUBLIC OF (SOUTH)</v>
          </cell>
        </row>
        <row r="97">
          <cell r="A97" t="str">
            <v>H5356A</v>
          </cell>
          <cell r="B97">
            <v>0</v>
          </cell>
          <cell r="C97" t="str">
            <v>D</v>
          </cell>
          <cell r="D97" t="str">
            <v>10</v>
          </cell>
          <cell r="E97" t="str">
            <v>9911 NOV99</v>
          </cell>
          <cell r="F97">
            <v>1320</v>
          </cell>
          <cell r="G97" t="str">
            <v>ASIA/PAC ASIA/PAC</v>
          </cell>
          <cell r="H97" t="str">
            <v>582 HONG KONG</v>
          </cell>
        </row>
        <row r="98">
          <cell r="A98" t="str">
            <v>H5356A</v>
          </cell>
          <cell r="B98">
            <v>0</v>
          </cell>
          <cell r="C98" t="str">
            <v>D</v>
          </cell>
          <cell r="D98" t="str">
            <v>10</v>
          </cell>
          <cell r="E98" t="str">
            <v>9911 NOV99</v>
          </cell>
          <cell r="F98">
            <v>1459.21</v>
          </cell>
          <cell r="G98" t="str">
            <v>ASIA/PAC ASIA/PAC</v>
          </cell>
          <cell r="H98" t="str">
            <v>557 MALAYSIA</v>
          </cell>
        </row>
        <row r="99">
          <cell r="A99" t="str">
            <v>H5356A</v>
          </cell>
          <cell r="B99">
            <v>0</v>
          </cell>
          <cell r="C99" t="str">
            <v>D</v>
          </cell>
          <cell r="D99" t="str">
            <v>10</v>
          </cell>
          <cell r="E99" t="str">
            <v>9911 NOV99</v>
          </cell>
          <cell r="F99">
            <v>2595.12</v>
          </cell>
          <cell r="G99" t="str">
            <v>ASIA/PAC ASIA/PAC</v>
          </cell>
          <cell r="H99" t="str">
            <v>559 SINGAPORE</v>
          </cell>
        </row>
        <row r="100">
          <cell r="A100" t="str">
            <v>H5356A</v>
          </cell>
          <cell r="B100">
            <v>0</v>
          </cell>
          <cell r="C100" t="str">
            <v>D</v>
          </cell>
          <cell r="D100" t="str">
            <v>10</v>
          </cell>
          <cell r="E100" t="str">
            <v>9911 NOV99</v>
          </cell>
          <cell r="F100">
            <v>5860.08</v>
          </cell>
          <cell r="G100" t="str">
            <v>ASIA/PAC ASIA/PAC</v>
          </cell>
          <cell r="H100" t="str">
            <v>560 INDONESIA</v>
          </cell>
        </row>
        <row r="101">
          <cell r="A101" t="str">
            <v>H5356A</v>
          </cell>
          <cell r="B101">
            <v>0</v>
          </cell>
          <cell r="C101" t="str">
            <v>D</v>
          </cell>
          <cell r="D101" t="str">
            <v>10</v>
          </cell>
          <cell r="E101" t="str">
            <v>9912 DEC99</v>
          </cell>
          <cell r="F101">
            <v>0</v>
          </cell>
          <cell r="G101" t="str">
            <v>ASIA/PAC ASIA/PAC</v>
          </cell>
          <cell r="H101" t="str">
            <v>557 MALAYSIA</v>
          </cell>
        </row>
        <row r="102">
          <cell r="A102" t="str">
            <v>H5356A</v>
          </cell>
          <cell r="B102">
            <v>0</v>
          </cell>
          <cell r="C102" t="str">
            <v>D</v>
          </cell>
          <cell r="D102" t="str">
            <v>10</v>
          </cell>
          <cell r="E102" t="str">
            <v>9912 DEC99</v>
          </cell>
          <cell r="F102">
            <v>10373.76</v>
          </cell>
          <cell r="G102" t="str">
            <v>ASIA/PAC ASIA/PAC</v>
          </cell>
          <cell r="H102" t="str">
            <v>570 CHINA, PEOPLES REPUBLIC</v>
          </cell>
        </row>
        <row r="103">
          <cell r="A103" t="str">
            <v>H5356A</v>
          </cell>
          <cell r="B103">
            <v>0</v>
          </cell>
          <cell r="C103" t="str">
            <v>D</v>
          </cell>
          <cell r="D103" t="str">
            <v>10</v>
          </cell>
          <cell r="E103" t="str">
            <v>9912 DEC99</v>
          </cell>
          <cell r="F103">
            <v>16774.32</v>
          </cell>
          <cell r="G103" t="str">
            <v>ASIA/PAC ASIA/PAC</v>
          </cell>
          <cell r="H103" t="str">
            <v>602 AUSTRALIA</v>
          </cell>
        </row>
        <row r="104">
          <cell r="A104" t="str">
            <v>H5356A</v>
          </cell>
          <cell r="B104">
            <v>0</v>
          </cell>
          <cell r="C104" t="str">
            <v>D</v>
          </cell>
          <cell r="D104" t="str">
            <v>10</v>
          </cell>
          <cell r="E104" t="str">
            <v>9912 DEC99</v>
          </cell>
          <cell r="F104">
            <v>17307.36</v>
          </cell>
          <cell r="G104" t="str">
            <v>ASIA/PAC ASIA/PAC</v>
          </cell>
          <cell r="H104" t="str">
            <v>583 TAIWAN</v>
          </cell>
        </row>
        <row r="105">
          <cell r="A105" t="str">
            <v>H5356A</v>
          </cell>
          <cell r="B105">
            <v>0</v>
          </cell>
          <cell r="C105" t="str">
            <v>D</v>
          </cell>
          <cell r="D105" t="str">
            <v>10</v>
          </cell>
          <cell r="E105" t="str">
            <v>9912 DEC99</v>
          </cell>
          <cell r="F105">
            <v>18518.52</v>
          </cell>
          <cell r="G105" t="str">
            <v>ASIA/PAC ASIA/PAC</v>
          </cell>
          <cell r="H105" t="str">
            <v>588 JAPAN</v>
          </cell>
        </row>
        <row r="106">
          <cell r="A106" t="str">
            <v>H5356A</v>
          </cell>
          <cell r="B106">
            <v>0</v>
          </cell>
          <cell r="C106" t="str">
            <v>D</v>
          </cell>
          <cell r="D106" t="str">
            <v>10</v>
          </cell>
          <cell r="E106" t="str">
            <v>9912 DEC99</v>
          </cell>
          <cell r="F106">
            <v>36121.32</v>
          </cell>
          <cell r="G106" t="str">
            <v>ASIA/PAC ASIA/PAC</v>
          </cell>
          <cell r="H106" t="str">
            <v>559 SINGAPORE</v>
          </cell>
        </row>
        <row r="107">
          <cell r="A107" t="str">
            <v>H5356A</v>
          </cell>
          <cell r="B107">
            <v>0</v>
          </cell>
          <cell r="C107" t="str">
            <v>D</v>
          </cell>
          <cell r="D107" t="str">
            <v>10</v>
          </cell>
          <cell r="E107" t="str">
            <v>9912 DEC99</v>
          </cell>
          <cell r="F107">
            <v>42237.48</v>
          </cell>
          <cell r="G107" t="str">
            <v>ASIA/PAC ASIA/PAC</v>
          </cell>
          <cell r="H107" t="str">
            <v>580 KOREA, REPUBLIC OF (SOUTH)</v>
          </cell>
        </row>
        <row r="108">
          <cell r="A108" t="str">
            <v>H5356A</v>
          </cell>
          <cell r="B108">
            <v>0</v>
          </cell>
          <cell r="C108" t="str">
            <v>D</v>
          </cell>
          <cell r="D108" t="str">
            <v>21</v>
          </cell>
          <cell r="E108" t="str">
            <v>9912 DEC99</v>
          </cell>
          <cell r="F108">
            <v>0</v>
          </cell>
          <cell r="G108" t="str">
            <v>ASIA/PAC ASIA/PAC</v>
          </cell>
          <cell r="H108" t="str">
            <v>588 JAPAN</v>
          </cell>
        </row>
        <row r="109">
          <cell r="A109" t="str">
            <v>H5356A</v>
          </cell>
          <cell r="B109">
            <v>5</v>
          </cell>
          <cell r="C109" t="str">
            <v>D</v>
          </cell>
          <cell r="D109" t="str">
            <v>10</v>
          </cell>
          <cell r="E109" t="str">
            <v>9912 DEC99</v>
          </cell>
          <cell r="F109">
            <v>-2166.42</v>
          </cell>
          <cell r="G109" t="str">
            <v>EUROPE EUROPE</v>
          </cell>
          <cell r="H109" t="str">
            <v>412 UNITED KINGDOM</v>
          </cell>
        </row>
        <row r="110">
          <cell r="A110" t="str">
            <v>H5356A</v>
          </cell>
          <cell r="B110">
            <v>6</v>
          </cell>
          <cell r="C110" t="str">
            <v>V VALUE ADDED RESELLER(VAR)</v>
          </cell>
          <cell r="D110" t="str">
            <v>10</v>
          </cell>
          <cell r="E110" t="str">
            <v>0001 JAN00</v>
          </cell>
          <cell r="F110">
            <v>361.98</v>
          </cell>
          <cell r="G110" t="str">
            <v>EUROPE EUROPE</v>
          </cell>
          <cell r="H110" t="str">
            <v>427 FRANCE</v>
          </cell>
        </row>
        <row r="111">
          <cell r="A111" t="str">
            <v>H5356A</v>
          </cell>
          <cell r="B111">
            <v>10</v>
          </cell>
          <cell r="C111" t="str">
            <v>D</v>
          </cell>
          <cell r="D111" t="str">
            <v>10</v>
          </cell>
          <cell r="E111" t="str">
            <v>0002 FEB00</v>
          </cell>
          <cell r="F111">
            <v>11242.4</v>
          </cell>
          <cell r="G111" t="str">
            <v>EUROPE EUROPE</v>
          </cell>
          <cell r="H111" t="str">
            <v>441 SWITZERLAND</v>
          </cell>
        </row>
        <row r="112">
          <cell r="A112" t="str">
            <v>H5356A</v>
          </cell>
          <cell r="B112">
            <v>12</v>
          </cell>
          <cell r="C112" t="str">
            <v>D</v>
          </cell>
          <cell r="D112" t="str">
            <v>10</v>
          </cell>
          <cell r="E112" t="str">
            <v>0001 JAN00</v>
          </cell>
          <cell r="F112">
            <v>1073.28</v>
          </cell>
          <cell r="G112" t="str">
            <v>EUROPE EUROPE</v>
          </cell>
          <cell r="H112" t="str">
            <v>791 SOUTH AFRICA, REPUBLIC OF</v>
          </cell>
        </row>
        <row r="113">
          <cell r="A113" t="str">
            <v>H5356A</v>
          </cell>
          <cell r="B113">
            <v>12</v>
          </cell>
          <cell r="C113" t="str">
            <v>D</v>
          </cell>
          <cell r="D113" t="str">
            <v>10</v>
          </cell>
          <cell r="E113" t="str">
            <v>0001 JAN00</v>
          </cell>
          <cell r="F113">
            <v>9660</v>
          </cell>
          <cell r="G113" t="str">
            <v>EUROPE EUROPE</v>
          </cell>
          <cell r="H113" t="str">
            <v>412 UNITED KINGDOM</v>
          </cell>
        </row>
        <row r="114">
          <cell r="A114" t="str">
            <v>H5356A</v>
          </cell>
          <cell r="B114">
            <v>12</v>
          </cell>
          <cell r="C114" t="str">
            <v>D</v>
          </cell>
          <cell r="D114" t="str">
            <v>10</v>
          </cell>
          <cell r="E114" t="str">
            <v>0001 JAN00</v>
          </cell>
          <cell r="F114">
            <v>11377.92</v>
          </cell>
          <cell r="G114" t="str">
            <v>EUROPE EUROPE</v>
          </cell>
          <cell r="H114" t="str">
            <v>405 FINLAND</v>
          </cell>
        </row>
        <row r="115">
          <cell r="A115" t="str">
            <v>H5356A</v>
          </cell>
          <cell r="B115">
            <v>12</v>
          </cell>
          <cell r="C115" t="str">
            <v>D</v>
          </cell>
          <cell r="D115" t="str">
            <v>10</v>
          </cell>
          <cell r="E115" t="str">
            <v>0001 JAN00</v>
          </cell>
          <cell r="F115">
            <v>13568.28</v>
          </cell>
          <cell r="G115" t="str">
            <v>EUROPE EUROPE</v>
          </cell>
          <cell r="H115" t="str">
            <v>484 GREECE</v>
          </cell>
        </row>
        <row r="116">
          <cell r="A116" t="str">
            <v>H5356A</v>
          </cell>
          <cell r="B116">
            <v>12</v>
          </cell>
          <cell r="C116" t="str">
            <v>D</v>
          </cell>
          <cell r="D116" t="str">
            <v>10</v>
          </cell>
          <cell r="E116" t="str">
            <v>0001 JAN00</v>
          </cell>
          <cell r="F116">
            <v>28329</v>
          </cell>
          <cell r="G116" t="str">
            <v>EUROPE EUROPE</v>
          </cell>
          <cell r="H116" t="str">
            <v>435 CZECH REPUBLIC</v>
          </cell>
        </row>
        <row r="117">
          <cell r="A117" t="str">
            <v>H5356A</v>
          </cell>
          <cell r="B117">
            <v>12</v>
          </cell>
          <cell r="C117" t="str">
            <v>D</v>
          </cell>
          <cell r="D117" t="str">
            <v>10</v>
          </cell>
          <cell r="E117" t="str">
            <v>0001 JAN00</v>
          </cell>
          <cell r="F117">
            <v>63956.160000000003</v>
          </cell>
          <cell r="G117" t="str">
            <v>EUROPE EUROPE</v>
          </cell>
          <cell r="H117" t="str">
            <v>421 NETHERLANDS</v>
          </cell>
        </row>
        <row r="118">
          <cell r="A118" t="str">
            <v>H5356A</v>
          </cell>
          <cell r="B118">
            <v>12</v>
          </cell>
          <cell r="C118" t="str">
            <v>D</v>
          </cell>
          <cell r="D118" t="str">
            <v>10</v>
          </cell>
          <cell r="E118" t="str">
            <v>0002 FEB00</v>
          </cell>
          <cell r="F118">
            <v>26544.36</v>
          </cell>
          <cell r="G118" t="str">
            <v>EUROPE EUROPE</v>
          </cell>
          <cell r="H118" t="str">
            <v>475 ITALY</v>
          </cell>
        </row>
        <row r="119">
          <cell r="A119" t="str">
            <v>H5356A</v>
          </cell>
          <cell r="B119">
            <v>12</v>
          </cell>
          <cell r="C119" t="str">
            <v>D</v>
          </cell>
          <cell r="D119" t="str">
            <v>10</v>
          </cell>
          <cell r="E119" t="str">
            <v>0002 FEB00</v>
          </cell>
          <cell r="F119">
            <v>26570.880000000001</v>
          </cell>
          <cell r="G119" t="str">
            <v>EUROPE EUROPE</v>
          </cell>
          <cell r="H119" t="str">
            <v>405 FINLAND</v>
          </cell>
        </row>
        <row r="120">
          <cell r="A120" t="str">
            <v>H5356A</v>
          </cell>
          <cell r="B120">
            <v>12</v>
          </cell>
          <cell r="C120" t="str">
            <v>D</v>
          </cell>
          <cell r="D120" t="str">
            <v>10</v>
          </cell>
          <cell r="E120" t="str">
            <v>9911 NOV99</v>
          </cell>
          <cell r="F120">
            <v>3476.52</v>
          </cell>
          <cell r="G120" t="str">
            <v>EUROPE EUROPE</v>
          </cell>
          <cell r="H120" t="str">
            <v>428 GERMANY</v>
          </cell>
        </row>
        <row r="121">
          <cell r="A121" t="str">
            <v>H5356A</v>
          </cell>
          <cell r="B121">
            <v>12</v>
          </cell>
          <cell r="C121" t="str">
            <v>D</v>
          </cell>
          <cell r="D121" t="str">
            <v>10</v>
          </cell>
          <cell r="E121" t="str">
            <v>9911 NOV99</v>
          </cell>
          <cell r="F121">
            <v>6751.2</v>
          </cell>
          <cell r="G121" t="str">
            <v>EUROPE EUROPE</v>
          </cell>
          <cell r="H121" t="str">
            <v>403 NORWAY</v>
          </cell>
        </row>
        <row r="122">
          <cell r="A122" t="str">
            <v>H5356A</v>
          </cell>
          <cell r="B122">
            <v>12</v>
          </cell>
          <cell r="C122" t="str">
            <v>D</v>
          </cell>
          <cell r="D122" t="str">
            <v>10</v>
          </cell>
          <cell r="E122" t="str">
            <v>9911 NOV99</v>
          </cell>
          <cell r="F122">
            <v>8743.44</v>
          </cell>
          <cell r="G122" t="str">
            <v>EUROPE EUROPE</v>
          </cell>
          <cell r="H122" t="str">
            <v>475 ITALY</v>
          </cell>
        </row>
        <row r="123">
          <cell r="A123" t="str">
            <v>H5356A</v>
          </cell>
          <cell r="B123">
            <v>12</v>
          </cell>
          <cell r="C123" t="str">
            <v>D</v>
          </cell>
          <cell r="D123" t="str">
            <v>10</v>
          </cell>
          <cell r="E123" t="str">
            <v>9911 NOV99</v>
          </cell>
          <cell r="F123">
            <v>28455.48</v>
          </cell>
          <cell r="G123" t="str">
            <v>EUROPE EUROPE</v>
          </cell>
          <cell r="H123" t="str">
            <v>405 FINLAND</v>
          </cell>
        </row>
        <row r="124">
          <cell r="A124" t="str">
            <v>H5356A</v>
          </cell>
          <cell r="B124">
            <v>12</v>
          </cell>
          <cell r="C124" t="str">
            <v>D</v>
          </cell>
          <cell r="D124" t="str">
            <v>10</v>
          </cell>
          <cell r="E124" t="str">
            <v>9912 DEC99</v>
          </cell>
          <cell r="F124">
            <v>3567.12</v>
          </cell>
          <cell r="G124" t="str">
            <v>EUROPE EUROPE</v>
          </cell>
          <cell r="H124" t="str">
            <v>470 SPAIN</v>
          </cell>
        </row>
        <row r="125">
          <cell r="A125" t="str">
            <v>H5356A</v>
          </cell>
          <cell r="B125">
            <v>12</v>
          </cell>
          <cell r="C125" t="str">
            <v>D</v>
          </cell>
          <cell r="D125" t="str">
            <v>10</v>
          </cell>
          <cell r="E125" t="str">
            <v>9912 DEC99</v>
          </cell>
          <cell r="F125">
            <v>6248.64</v>
          </cell>
          <cell r="G125" t="str">
            <v>EUROPE EUROPE</v>
          </cell>
          <cell r="H125" t="str">
            <v>471 PORTUGAL</v>
          </cell>
        </row>
        <row r="126">
          <cell r="A126" t="str">
            <v>H5356A</v>
          </cell>
          <cell r="B126">
            <v>12</v>
          </cell>
          <cell r="C126" t="str">
            <v>D</v>
          </cell>
          <cell r="D126" t="str">
            <v>10</v>
          </cell>
          <cell r="E126" t="str">
            <v>9912 DEC99</v>
          </cell>
          <cell r="F126">
            <v>12514.68</v>
          </cell>
          <cell r="G126" t="str">
            <v>EUROPE EUROPE</v>
          </cell>
          <cell r="H126" t="str">
            <v>423 BELGIUM</v>
          </cell>
        </row>
        <row r="127">
          <cell r="A127" t="str">
            <v>H5356A</v>
          </cell>
          <cell r="B127">
            <v>12</v>
          </cell>
          <cell r="C127" t="str">
            <v>D</v>
          </cell>
          <cell r="D127" t="str">
            <v>10</v>
          </cell>
          <cell r="E127" t="str">
            <v>9912 DEC99</v>
          </cell>
          <cell r="F127">
            <v>38999.760000000002</v>
          </cell>
          <cell r="G127" t="str">
            <v>EUROPE EUROPE</v>
          </cell>
          <cell r="H127" t="str">
            <v>421 NETHERLANDS</v>
          </cell>
        </row>
        <row r="128">
          <cell r="A128" t="str">
            <v>H5356A</v>
          </cell>
          <cell r="B128">
            <v>12</v>
          </cell>
          <cell r="C128" t="str">
            <v>D</v>
          </cell>
          <cell r="D128" t="str">
            <v>10</v>
          </cell>
          <cell r="E128" t="str">
            <v>9912 DEC99</v>
          </cell>
          <cell r="F128">
            <v>49002.6</v>
          </cell>
          <cell r="G128" t="str">
            <v>EUROPE EUROPE</v>
          </cell>
          <cell r="H128" t="str">
            <v>403 NORWAY</v>
          </cell>
        </row>
        <row r="129">
          <cell r="A129" t="str">
            <v>H5356A</v>
          </cell>
          <cell r="B129">
            <v>21</v>
          </cell>
          <cell r="C129" t="str">
            <v>D</v>
          </cell>
          <cell r="D129" t="str">
            <v>10</v>
          </cell>
          <cell r="E129" t="str">
            <v>9912 DEC99</v>
          </cell>
          <cell r="F129">
            <v>-5959.54</v>
          </cell>
          <cell r="G129" t="str">
            <v>EUROPE EUROPE</v>
          </cell>
          <cell r="H129" t="str">
            <v>427 FRANCE</v>
          </cell>
        </row>
        <row r="130">
          <cell r="A130" t="str">
            <v>H5356A</v>
          </cell>
          <cell r="B130">
            <v>24</v>
          </cell>
          <cell r="C130" t="str">
            <v>D</v>
          </cell>
          <cell r="D130" t="str">
            <v>10</v>
          </cell>
          <cell r="E130" t="str">
            <v>0001 JAN00</v>
          </cell>
          <cell r="F130">
            <v>9590.16</v>
          </cell>
          <cell r="G130" t="str">
            <v>EUROPE EUROPE</v>
          </cell>
          <cell r="H130" t="str">
            <v>470 SPAIN</v>
          </cell>
        </row>
        <row r="131">
          <cell r="A131" t="str">
            <v>H5356A</v>
          </cell>
          <cell r="B131">
            <v>24</v>
          </cell>
          <cell r="C131" t="str">
            <v>D</v>
          </cell>
          <cell r="D131" t="str">
            <v>10</v>
          </cell>
          <cell r="E131" t="str">
            <v>0001 JAN00</v>
          </cell>
          <cell r="F131">
            <v>11413.68</v>
          </cell>
          <cell r="G131" t="str">
            <v>EUROPE EUROPE</v>
          </cell>
          <cell r="H131" t="str">
            <v>475 ITALY</v>
          </cell>
        </row>
        <row r="132">
          <cell r="A132" t="str">
            <v>H5356A</v>
          </cell>
          <cell r="B132">
            <v>24</v>
          </cell>
          <cell r="C132" t="str">
            <v>D</v>
          </cell>
          <cell r="D132" t="str">
            <v>10</v>
          </cell>
          <cell r="E132" t="str">
            <v>0002 FEB00</v>
          </cell>
          <cell r="F132">
            <v>15759.84</v>
          </cell>
          <cell r="G132" t="str">
            <v>EUROPE EUROPE</v>
          </cell>
          <cell r="H132" t="str">
            <v>428 GERMANY</v>
          </cell>
        </row>
        <row r="133">
          <cell r="A133" t="str">
            <v>H5356A</v>
          </cell>
          <cell r="B133">
            <v>24</v>
          </cell>
          <cell r="C133" t="str">
            <v>D</v>
          </cell>
          <cell r="D133" t="str">
            <v>10</v>
          </cell>
          <cell r="E133" t="str">
            <v>9911 NOV99</v>
          </cell>
          <cell r="F133">
            <v>29342.639999999999</v>
          </cell>
          <cell r="G133" t="str">
            <v>EUROPE EUROPE</v>
          </cell>
          <cell r="H133" t="str">
            <v>401 SWEDEN</v>
          </cell>
        </row>
        <row r="134">
          <cell r="A134" t="str">
            <v>H5356A</v>
          </cell>
          <cell r="B134">
            <v>24</v>
          </cell>
          <cell r="C134" t="str">
            <v>D</v>
          </cell>
          <cell r="D134" t="str">
            <v>10</v>
          </cell>
          <cell r="E134" t="str">
            <v>9911 NOV99</v>
          </cell>
          <cell r="F134">
            <v>31686.959999999999</v>
          </cell>
          <cell r="G134" t="str">
            <v>EUROPE EUROPE</v>
          </cell>
          <cell r="H134" t="str">
            <v>427 FRANCE</v>
          </cell>
        </row>
        <row r="135">
          <cell r="A135" t="str">
            <v>H5356A</v>
          </cell>
          <cell r="B135">
            <v>25</v>
          </cell>
          <cell r="C135" t="str">
            <v>D</v>
          </cell>
          <cell r="D135" t="str">
            <v>10</v>
          </cell>
          <cell r="E135" t="str">
            <v>0002 FEB00</v>
          </cell>
          <cell r="F135">
            <v>33385.910000000003</v>
          </cell>
          <cell r="G135" t="str">
            <v>EUROPE EUROPE</v>
          </cell>
          <cell r="H135" t="str">
            <v>427 FRANCE</v>
          </cell>
        </row>
        <row r="136">
          <cell r="A136" t="str">
            <v>H5356A</v>
          </cell>
          <cell r="B136">
            <v>36</v>
          </cell>
          <cell r="C136" t="str">
            <v>D</v>
          </cell>
          <cell r="D136" t="str">
            <v>10</v>
          </cell>
          <cell r="E136" t="str">
            <v>9912 DEC99</v>
          </cell>
          <cell r="F136">
            <v>23465.16</v>
          </cell>
          <cell r="G136" t="str">
            <v>EUROPE EUROPE</v>
          </cell>
          <cell r="H136" t="str">
            <v>428 GERMANY</v>
          </cell>
        </row>
        <row r="137">
          <cell r="A137" t="str">
            <v>H5356A</v>
          </cell>
          <cell r="B137">
            <v>42</v>
          </cell>
          <cell r="C137" t="str">
            <v>D</v>
          </cell>
          <cell r="D137" t="str">
            <v>10</v>
          </cell>
          <cell r="E137" t="str">
            <v>0001 JAN00</v>
          </cell>
          <cell r="F137">
            <v>18492.78</v>
          </cell>
          <cell r="G137" t="str">
            <v>EUROPE EUROPE</v>
          </cell>
          <cell r="H137" t="str">
            <v>409 DENMARK</v>
          </cell>
        </row>
        <row r="138">
          <cell r="A138" t="str">
            <v>H5356A</v>
          </cell>
          <cell r="B138">
            <v>60</v>
          </cell>
          <cell r="C138" t="str">
            <v>D</v>
          </cell>
          <cell r="D138" t="str">
            <v>10</v>
          </cell>
          <cell r="E138" t="str">
            <v>0001 JAN00</v>
          </cell>
          <cell r="F138">
            <v>134408.51999999999</v>
          </cell>
          <cell r="G138" t="str">
            <v>EUROPE EUROPE</v>
          </cell>
          <cell r="H138" t="str">
            <v>401 SWEDEN</v>
          </cell>
        </row>
        <row r="139">
          <cell r="A139" t="str">
            <v>H5356A</v>
          </cell>
          <cell r="B139">
            <v>72</v>
          </cell>
          <cell r="C139" t="str">
            <v>D</v>
          </cell>
          <cell r="D139" t="str">
            <v>10</v>
          </cell>
          <cell r="E139" t="str">
            <v>0001 JAN00</v>
          </cell>
          <cell r="F139">
            <v>52206.720000000001</v>
          </cell>
          <cell r="G139" t="str">
            <v>EUROPE EUROPE</v>
          </cell>
          <cell r="H139" t="str">
            <v>403 NORWAY</v>
          </cell>
        </row>
        <row r="140">
          <cell r="A140" t="str">
            <v>H5356A</v>
          </cell>
          <cell r="B140">
            <v>119</v>
          </cell>
          <cell r="C140" t="str">
            <v>D</v>
          </cell>
          <cell r="D140" t="str">
            <v>10</v>
          </cell>
          <cell r="E140" t="str">
            <v>0001 JAN00</v>
          </cell>
          <cell r="F140">
            <v>89272.23</v>
          </cell>
          <cell r="G140" t="str">
            <v>EUROPE EUROPE</v>
          </cell>
          <cell r="H140" t="str">
            <v>428 GERMANY</v>
          </cell>
        </row>
        <row r="141">
          <cell r="A141" t="str">
            <v>H5356A</v>
          </cell>
          <cell r="B141">
            <v>162</v>
          </cell>
          <cell r="C141" t="str">
            <v>D</v>
          </cell>
          <cell r="D141" t="str">
            <v>10</v>
          </cell>
          <cell r="E141" t="str">
            <v>0001 JAN00</v>
          </cell>
          <cell r="F141">
            <v>107602.5</v>
          </cell>
          <cell r="G141" t="str">
            <v>EUROPE EUROPE</v>
          </cell>
          <cell r="H141" t="str">
            <v>427 FRANCE</v>
          </cell>
        </row>
        <row r="142">
          <cell r="A142" t="str">
            <v>H5357A</v>
          </cell>
          <cell r="B142">
            <v>3</v>
          </cell>
          <cell r="C142" t="str">
            <v>D</v>
          </cell>
          <cell r="D142" t="str">
            <v>10</v>
          </cell>
          <cell r="E142" t="str">
            <v>0001 JAN00</v>
          </cell>
          <cell r="F142">
            <v>636.17999999999995</v>
          </cell>
          <cell r="G142" t="str">
            <v>EUROPE EUROPE</v>
          </cell>
          <cell r="H142" t="str">
            <v>428 GERMANY</v>
          </cell>
        </row>
      </sheetData>
      <sheetData sheetId="1" refreshError="1"/>
      <sheetData sheetId="2" refreshError="1">
        <row r="11">
          <cell r="D11">
            <v>166405.13</v>
          </cell>
        </row>
        <row r="12">
          <cell r="D12">
            <v>2133.3298300000001</v>
          </cell>
        </row>
        <row r="13">
          <cell r="D13">
            <v>5598</v>
          </cell>
        </row>
      </sheetData>
      <sheetData sheetId="3" refreshError="1">
        <row r="11">
          <cell r="D11">
            <v>166405.13</v>
          </cell>
        </row>
        <row r="12">
          <cell r="D12">
            <v>281908.60000000003</v>
          </cell>
        </row>
        <row r="13">
          <cell r="D13">
            <v>0</v>
          </cell>
        </row>
        <row r="14">
          <cell r="D14" t="str">
            <v xml:space="preserve"> </v>
          </cell>
        </row>
      </sheetData>
      <sheetData sheetId="4" refreshError="1">
        <row r="11">
          <cell r="D11">
            <v>166405.13</v>
          </cell>
        </row>
        <row r="12">
          <cell r="D12">
            <v>512964.71</v>
          </cell>
        </row>
        <row r="13">
          <cell r="D13">
            <v>45282.1</v>
          </cell>
        </row>
        <row r="14">
          <cell r="D14">
            <v>11242.4</v>
          </cell>
        </row>
        <row r="15">
          <cell r="D15">
            <v>0</v>
          </cell>
        </row>
        <row r="16">
          <cell r="D16">
            <v>107960.51999999999</v>
          </cell>
        </row>
        <row r="17">
          <cell r="D17">
            <v>67990.11</v>
          </cell>
        </row>
        <row r="18">
          <cell r="D18">
            <v>17307.36</v>
          </cell>
        </row>
        <row r="19">
          <cell r="D19">
            <v>13206.61</v>
          </cell>
        </row>
        <row r="20">
          <cell r="D20">
            <v>38716.44</v>
          </cell>
        </row>
        <row r="21">
          <cell r="D21">
            <v>84721.56</v>
          </cell>
        </row>
        <row r="22">
          <cell r="D22">
            <v>15391.68</v>
          </cell>
        </row>
        <row r="23">
          <cell r="D23">
            <v>1320</v>
          </cell>
        </row>
        <row r="24">
          <cell r="D24">
            <v>13568.28</v>
          </cell>
        </row>
        <row r="25">
          <cell r="D25">
            <v>661767.67000000004</v>
          </cell>
        </row>
        <row r="26">
          <cell r="D26">
            <v>13568.28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D-Y2K"/>
      <sheetName val="SSDGrowth"/>
      <sheetName val="AFO Growth"/>
      <sheetName val="EFO Growth"/>
      <sheetName val="APFO Growth"/>
      <sheetName val="WWFieldGrowth"/>
      <sheetName val="Field graph"/>
      <sheetName val="WW Field_PL3D"/>
      <sheetName val="WW Field_PL06"/>
      <sheetName val="WW Field_PL7G"/>
      <sheetName val="ICI"/>
      <sheetName val="Super Region"/>
      <sheetName val="YTD Actual"/>
      <sheetName val="Region"/>
      <sheetName val="TEMPLATE"/>
      <sheetName val="Total Financials"/>
      <sheetName val="Data_Summary"/>
      <sheetName val="Data_Detail"/>
      <sheetName val="UTX"/>
      <sheetName val="AFO_Growth"/>
      <sheetName val="EFO_Growth"/>
      <sheetName val="APFO_Growth"/>
      <sheetName val="Field_graph"/>
      <sheetName val="WW_Field_PL3D"/>
      <sheetName val="WW_Field_PL06"/>
      <sheetName val="WW_Field_PL7G"/>
      <sheetName val="Super_Region"/>
      <sheetName val="YTD_Actual"/>
      <sheetName val="Total_Financials"/>
      <sheetName val="Long-Term Care Comps"/>
      <sheetName val="Owned_09"/>
      <sheetName val="Drivers - P&amp;L"/>
      <sheetName val=""/>
      <sheetName val="Control"/>
      <sheetName val="Keys"/>
      <sheetName val="Lookup"/>
      <sheetName val="YoY Summary"/>
      <sheetName val="Sheet2"/>
      <sheetName val="Lists"/>
      <sheetName val="Drop down list"/>
      <sheetName val="Drop-Down"/>
      <sheetName val="Index"/>
      <sheetName val="FoF"/>
      <sheetName val="FoF-FY16"/>
      <sheetName val="Others"/>
      <sheetName val="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2010"/>
      <sheetName val="1Q10"/>
      <sheetName val="2Q10"/>
      <sheetName val="3Q10"/>
      <sheetName val="4Q10"/>
      <sheetName val="2010 Summary"/>
      <sheetName val="Data"/>
      <sheetName val="Churn-History&amp;Pipe"/>
      <sheetName val="Monthly SOLD History"/>
      <sheetName val="Lists"/>
      <sheetName val="Revenue Impact"/>
      <sheetName val="PY B&amp;C"/>
      <sheetName val="ActPYOP"/>
      <sheetName val="ActPYRev"/>
      <sheetName val="ActRel"/>
      <sheetName val="3. WorkForce Reduction"/>
      <sheetName val="4. WorkForce Staffing Up"/>
      <sheetName val="Status"/>
      <sheetName val="Total ISPR"/>
      <sheetName val="Keys"/>
      <sheetName val="Revenue (AUD)"/>
      <sheetName val="Version changes"/>
      <sheetName val="Sales Forecast to Revenue Rollo"/>
      <sheetName val="Risk"/>
      <sheetName val="DMB"/>
      <sheetName val="Key"/>
      <sheetName val="Reference"/>
      <sheetName val="BO-Reference"/>
      <sheetName val="0)Reference"/>
      <sheetName val="Instructions"/>
      <sheetName val="Attribut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Monthly SOLD History"/>
      <sheetName val="Project Input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List"/>
      <sheetName val="ICI"/>
      <sheetName val="Instructions"/>
      <sheetName val="ES Asia Territory"/>
      <sheetName val="Cover Sheet"/>
      <sheetName val=""/>
      <sheetName val="Resource Names"/>
      <sheetName val="Ref"/>
      <sheetName val="Reference"/>
      <sheetName val="Sheet1"/>
      <sheetName val="Dimensions"/>
      <sheetName val="menu"/>
      <sheetName val="DOI, Inv$ Quarterly"/>
      <sheetName val="Latest Outlook"/>
      <sheetName val="Filters"/>
      <sheetName val="Control Panel"/>
      <sheetName val="FoF"/>
      <sheetName val="FY16 FoF"/>
      <sheetName val="Elaine's Pull downs"/>
      <sheetName val="FoF-FY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Project Input"/>
      <sheetName val="Monthly SOLD History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Instructions"/>
      <sheetName val="List"/>
      <sheetName val="ICI"/>
      <sheetName val="Cover Sheet"/>
      <sheetName val=""/>
      <sheetName val="ES Asia Territory"/>
      <sheetName val="Resource Names"/>
      <sheetName val="Ref"/>
      <sheetName val="Reference"/>
      <sheetName val="Sheet1"/>
      <sheetName val="Latest Outlook"/>
      <sheetName val="DOI, Inv$ Quarterly"/>
      <sheetName val="Filters"/>
      <sheetName val="Control 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6DCF-E96A-4AF3-8DBE-1B2C7CBAF615}">
  <sheetPr codeName="Sheet3"/>
  <dimension ref="A1:AI160"/>
  <sheetViews>
    <sheetView showGridLines="0" zoomScale="41" zoomScaleNormal="110" workbookViewId="0">
      <pane xSplit="8" ySplit="3" topLeftCell="I114" activePane="bottomRight" state="frozen"/>
      <selection pane="topRight" activeCell="G1" sqref="G1"/>
      <selection pane="bottomLeft" activeCell="A4" sqref="A4"/>
      <selection pane="bottomRight" activeCell="G80" sqref="G80"/>
    </sheetView>
  </sheetViews>
  <sheetFormatPr defaultColWidth="0" defaultRowHeight="14.4" zeroHeight="1" x14ac:dyDescent="0.3"/>
  <cols>
    <col min="1" max="4" width="3.21875" customWidth="1"/>
    <col min="5" max="5" width="39.6640625" customWidth="1"/>
    <col min="6" max="6" width="6.44140625" style="25" customWidth="1"/>
    <col min="7" max="7" width="8.88671875" customWidth="1"/>
    <col min="8" max="8" width="14.777343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13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4" spans="2:35" x14ac:dyDescent="0.3"/>
    <row r="5" spans="2:35" ht="15.6" x14ac:dyDescent="0.3">
      <c r="B5" s="30" t="s">
        <v>89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6" spans="2:35" x14ac:dyDescent="0.3"/>
    <row r="7" spans="2:35" x14ac:dyDescent="0.3">
      <c r="C7" t="s">
        <v>16</v>
      </c>
      <c r="F7" s="25" t="s">
        <v>17</v>
      </c>
      <c r="I7" s="21">
        <v>450000000</v>
      </c>
    </row>
    <row r="8" spans="2:35" x14ac:dyDescent="0.3"/>
    <row r="9" spans="2:35" x14ac:dyDescent="0.3">
      <c r="C9" s="26" t="s">
        <v>91</v>
      </c>
    </row>
    <row r="10" spans="2:35" x14ac:dyDescent="0.3">
      <c r="D10" t="s">
        <v>90</v>
      </c>
      <c r="F10" s="25" t="s">
        <v>0</v>
      </c>
      <c r="I10" s="28">
        <v>0.12</v>
      </c>
      <c r="J10" s="28">
        <v>0.12</v>
      </c>
      <c r="K10" s="28">
        <v>0.12</v>
      </c>
      <c r="L10" s="28">
        <v>0.12</v>
      </c>
      <c r="M10" s="28">
        <v>0.12</v>
      </c>
    </row>
    <row r="11" spans="2:35" x14ac:dyDescent="0.3">
      <c r="D11" t="s">
        <v>92</v>
      </c>
      <c r="F11" s="25" t="s">
        <v>0</v>
      </c>
      <c r="I11" s="28">
        <v>0.9</v>
      </c>
      <c r="J11" s="28">
        <v>0.9</v>
      </c>
      <c r="K11" s="28">
        <v>0.85</v>
      </c>
      <c r="L11" s="28">
        <v>0.85</v>
      </c>
      <c r="M11" s="28">
        <v>0.8</v>
      </c>
    </row>
    <row r="12" spans="2:35" x14ac:dyDescent="0.3">
      <c r="D12" t="s">
        <v>93</v>
      </c>
      <c r="F12" s="25" t="s">
        <v>0</v>
      </c>
      <c r="G12" s="36"/>
      <c r="I12" s="28">
        <v>1</v>
      </c>
      <c r="J12" s="28">
        <v>1</v>
      </c>
      <c r="K12" s="28">
        <v>1</v>
      </c>
      <c r="L12" s="28">
        <v>1</v>
      </c>
      <c r="M12" s="28">
        <v>1</v>
      </c>
    </row>
    <row r="13" spans="2:35" x14ac:dyDescent="0.3">
      <c r="D13" t="s">
        <v>94</v>
      </c>
      <c r="F13" s="25" t="s">
        <v>0</v>
      </c>
      <c r="I13" s="28">
        <v>0.1</v>
      </c>
      <c r="J13" s="28">
        <v>0.1</v>
      </c>
      <c r="K13" s="28">
        <v>0.1</v>
      </c>
      <c r="L13" s="28">
        <v>0.1</v>
      </c>
      <c r="M13" s="28">
        <v>0.1</v>
      </c>
    </row>
    <row r="14" spans="2:35" x14ac:dyDescent="0.3">
      <c r="D14" t="s">
        <v>95</v>
      </c>
      <c r="F14" s="25" t="s">
        <v>0</v>
      </c>
      <c r="I14" s="28">
        <v>0.15</v>
      </c>
      <c r="J14" s="28">
        <v>0.15</v>
      </c>
      <c r="K14" s="28">
        <v>0.15</v>
      </c>
      <c r="L14" s="28">
        <v>0.15</v>
      </c>
      <c r="M14" s="28">
        <v>0.15</v>
      </c>
    </row>
    <row r="15" spans="2:35" x14ac:dyDescent="0.3">
      <c r="D15" t="s">
        <v>96</v>
      </c>
      <c r="F15" s="25" t="s">
        <v>23</v>
      </c>
      <c r="I15" s="37">
        <v>12.5</v>
      </c>
      <c r="J15" s="37">
        <v>12.5</v>
      </c>
      <c r="K15" s="37">
        <v>12.5</v>
      </c>
      <c r="L15" s="37">
        <v>12.5</v>
      </c>
      <c r="M15" s="37">
        <v>12.5</v>
      </c>
    </row>
    <row r="16" spans="2:35" x14ac:dyDescent="0.3"/>
    <row r="17" spans="2:13" x14ac:dyDescent="0.3"/>
    <row r="18" spans="2:13" ht="15.6" x14ac:dyDescent="0.3">
      <c r="B18" s="30" t="s">
        <v>41</v>
      </c>
      <c r="C18" s="31"/>
      <c r="D18" s="31"/>
      <c r="E18" s="31"/>
      <c r="F18" s="32"/>
      <c r="G18" s="31"/>
      <c r="H18" s="31"/>
      <c r="I18" s="31"/>
      <c r="J18" s="31"/>
      <c r="K18" s="31"/>
      <c r="L18" s="31"/>
      <c r="M18" s="33"/>
    </row>
    <row r="19" spans="2:13" x14ac:dyDescent="0.3">
      <c r="I19" s="45"/>
      <c r="J19" s="45"/>
      <c r="K19" s="45"/>
      <c r="L19" s="45"/>
      <c r="M19" s="45"/>
    </row>
    <row r="20" spans="2:13" x14ac:dyDescent="0.3">
      <c r="C20" s="26" t="s">
        <v>22</v>
      </c>
      <c r="I20" s="45"/>
      <c r="J20" s="56"/>
      <c r="K20" s="45"/>
      <c r="L20" s="45"/>
      <c r="M20" s="45"/>
    </row>
    <row r="21" spans="2:13" x14ac:dyDescent="0.3">
      <c r="D21" t="s">
        <v>19</v>
      </c>
      <c r="F21" s="25" t="s">
        <v>23</v>
      </c>
      <c r="I21" s="21">
        <v>100</v>
      </c>
      <c r="J21" s="50">
        <f t="shared" ref="J21:M24" si="1">ROUND(I21*(1+J27),0)</f>
        <v>160</v>
      </c>
      <c r="K21" s="50">
        <f t="shared" si="1"/>
        <v>224</v>
      </c>
      <c r="L21" s="50">
        <f t="shared" si="1"/>
        <v>280</v>
      </c>
      <c r="M21" s="50">
        <f t="shared" si="1"/>
        <v>308</v>
      </c>
    </row>
    <row r="22" spans="2:13" x14ac:dyDescent="0.3">
      <c r="D22" t="s">
        <v>20</v>
      </c>
      <c r="F22" s="25" t="s">
        <v>23</v>
      </c>
      <c r="I22" s="21">
        <v>150</v>
      </c>
      <c r="J22" s="50">
        <f t="shared" si="1"/>
        <v>225</v>
      </c>
      <c r="K22" s="50">
        <f t="shared" si="1"/>
        <v>315</v>
      </c>
      <c r="L22" s="50">
        <f t="shared" si="1"/>
        <v>425</v>
      </c>
      <c r="M22" s="50">
        <f t="shared" si="1"/>
        <v>468</v>
      </c>
    </row>
    <row r="23" spans="2:13" x14ac:dyDescent="0.3">
      <c r="D23" t="s">
        <v>21</v>
      </c>
      <c r="F23" s="25" t="s">
        <v>23</v>
      </c>
      <c r="I23" s="21">
        <v>35</v>
      </c>
      <c r="J23" s="50">
        <f t="shared" si="1"/>
        <v>58</v>
      </c>
      <c r="K23" s="50">
        <f t="shared" si="1"/>
        <v>84</v>
      </c>
      <c r="L23" s="50">
        <f t="shared" si="1"/>
        <v>105</v>
      </c>
      <c r="M23" s="50">
        <f t="shared" si="1"/>
        <v>121</v>
      </c>
    </row>
    <row r="24" spans="2:13" x14ac:dyDescent="0.3">
      <c r="D24" t="s">
        <v>18</v>
      </c>
      <c r="F24" s="25" t="s">
        <v>23</v>
      </c>
      <c r="I24" s="21">
        <v>60</v>
      </c>
      <c r="J24" s="50">
        <f t="shared" si="1"/>
        <v>78</v>
      </c>
      <c r="K24" s="50">
        <f t="shared" si="1"/>
        <v>90</v>
      </c>
      <c r="L24" s="50">
        <f t="shared" si="1"/>
        <v>101</v>
      </c>
      <c r="M24" s="50">
        <f t="shared" si="1"/>
        <v>111</v>
      </c>
    </row>
    <row r="25" spans="2:13" x14ac:dyDescent="0.3"/>
    <row r="26" spans="2:13" x14ac:dyDescent="0.3">
      <c r="C26" s="26" t="s">
        <v>40</v>
      </c>
    </row>
    <row r="27" spans="2:13" x14ac:dyDescent="0.3">
      <c r="D27" t="s">
        <v>19</v>
      </c>
      <c r="F27" s="25" t="s">
        <v>0</v>
      </c>
      <c r="J27" s="28">
        <v>0.6</v>
      </c>
      <c r="K27" s="28">
        <v>0.4</v>
      </c>
      <c r="L27" s="28">
        <v>0.25</v>
      </c>
      <c r="M27" s="28">
        <v>0.1</v>
      </c>
    </row>
    <row r="28" spans="2:13" x14ac:dyDescent="0.3">
      <c r="D28" t="s">
        <v>20</v>
      </c>
      <c r="F28" s="25" t="s">
        <v>0</v>
      </c>
      <c r="J28" s="28">
        <v>0.5</v>
      </c>
      <c r="K28" s="28">
        <v>0.4</v>
      </c>
      <c r="L28" s="28">
        <v>0.35</v>
      </c>
      <c r="M28" s="28">
        <v>0.1</v>
      </c>
    </row>
    <row r="29" spans="2:13" x14ac:dyDescent="0.3">
      <c r="D29" t="s">
        <v>21</v>
      </c>
      <c r="F29" s="25" t="s">
        <v>0</v>
      </c>
      <c r="J29" s="28">
        <v>0.65</v>
      </c>
      <c r="K29" s="28">
        <v>0.45</v>
      </c>
      <c r="L29" s="28">
        <v>0.25</v>
      </c>
      <c r="M29" s="28">
        <v>0.15</v>
      </c>
    </row>
    <row r="30" spans="2:13" x14ac:dyDescent="0.3">
      <c r="D30" t="s">
        <v>18</v>
      </c>
      <c r="F30" s="25" t="s">
        <v>0</v>
      </c>
      <c r="J30" s="28">
        <v>0.3</v>
      </c>
      <c r="K30" s="28">
        <v>0.15</v>
      </c>
      <c r="L30" s="28">
        <v>0.12</v>
      </c>
      <c r="M30" s="28">
        <v>0.1</v>
      </c>
    </row>
    <row r="31" spans="2:13" x14ac:dyDescent="0.3"/>
    <row r="32" spans="2:13" x14ac:dyDescent="0.3">
      <c r="C32" s="26" t="s">
        <v>26</v>
      </c>
    </row>
    <row r="33" spans="3:13" x14ac:dyDescent="0.3">
      <c r="D33" t="s">
        <v>19</v>
      </c>
      <c r="F33" s="25" t="s">
        <v>0</v>
      </c>
      <c r="I33" s="28">
        <v>9.5000000000000001E-2</v>
      </c>
      <c r="J33" s="28">
        <v>9.5000000000000001E-2</v>
      </c>
      <c r="K33" s="28">
        <v>9.5000000000000001E-2</v>
      </c>
      <c r="L33" s="28">
        <v>9.5000000000000001E-2</v>
      </c>
      <c r="M33" s="28">
        <v>9.5000000000000001E-2</v>
      </c>
    </row>
    <row r="34" spans="3:13" x14ac:dyDescent="0.3">
      <c r="D34" t="s">
        <v>20</v>
      </c>
      <c r="F34" s="25" t="s">
        <v>0</v>
      </c>
      <c r="I34" s="28">
        <v>0.14000000000000001</v>
      </c>
      <c r="J34" s="28">
        <v>0.14000000000000001</v>
      </c>
      <c r="K34" s="28">
        <v>0.14000000000000001</v>
      </c>
      <c r="L34" s="28">
        <v>0.14000000000000001</v>
      </c>
      <c r="M34" s="28">
        <v>0.14000000000000001</v>
      </c>
    </row>
    <row r="35" spans="3:13" x14ac:dyDescent="0.3">
      <c r="D35" t="s">
        <v>21</v>
      </c>
      <c r="F35" s="25" t="s">
        <v>0</v>
      </c>
      <c r="I35" s="28">
        <v>0.125</v>
      </c>
      <c r="J35" s="28">
        <v>0.125</v>
      </c>
      <c r="K35" s="28">
        <v>0.125</v>
      </c>
      <c r="L35" s="28">
        <v>0.125</v>
      </c>
      <c r="M35" s="28">
        <v>0.125</v>
      </c>
    </row>
    <row r="36" spans="3:13" x14ac:dyDescent="0.3">
      <c r="D36" t="s">
        <v>18</v>
      </c>
      <c r="F36" s="25" t="s">
        <v>0</v>
      </c>
      <c r="I36" s="28">
        <v>0.12</v>
      </c>
      <c r="J36" s="28">
        <v>0.12</v>
      </c>
      <c r="K36" s="28">
        <v>0.12</v>
      </c>
      <c r="L36" s="28">
        <v>0.12</v>
      </c>
      <c r="M36" s="28">
        <v>0.12</v>
      </c>
    </row>
    <row r="37" spans="3:13" x14ac:dyDescent="0.3"/>
    <row r="38" spans="3:13" x14ac:dyDescent="0.3">
      <c r="C38" s="26" t="s">
        <v>25</v>
      </c>
    </row>
    <row r="39" spans="3:13" x14ac:dyDescent="0.3">
      <c r="D39" t="s">
        <v>19</v>
      </c>
      <c r="F39" s="25" t="s">
        <v>17</v>
      </c>
      <c r="I39" s="21">
        <v>2500000</v>
      </c>
      <c r="J39" s="50">
        <f>I39*(1+J45)</f>
        <v>2875000</v>
      </c>
      <c r="K39" s="50">
        <f t="shared" ref="J39:M42" si="2">J39*(1+K45)</f>
        <v>3220000.0000000005</v>
      </c>
      <c r="L39" s="50">
        <f t="shared" si="2"/>
        <v>3509800.0000000009</v>
      </c>
      <c r="M39" s="50">
        <f t="shared" si="2"/>
        <v>3755486.0000000014</v>
      </c>
    </row>
    <row r="40" spans="3:13" x14ac:dyDescent="0.3">
      <c r="D40" t="s">
        <v>20</v>
      </c>
      <c r="F40" s="25" t="s">
        <v>17</v>
      </c>
      <c r="I40" s="21">
        <v>500000</v>
      </c>
      <c r="J40" s="50">
        <f t="shared" si="2"/>
        <v>575000</v>
      </c>
      <c r="K40" s="50">
        <f t="shared" si="2"/>
        <v>644000.00000000012</v>
      </c>
      <c r="L40" s="50">
        <f t="shared" si="2"/>
        <v>701960.00000000023</v>
      </c>
      <c r="M40" s="50">
        <f t="shared" si="2"/>
        <v>751097.2000000003</v>
      </c>
    </row>
    <row r="41" spans="3:13" x14ac:dyDescent="0.3">
      <c r="D41" t="s">
        <v>21</v>
      </c>
      <c r="F41" s="25" t="s">
        <v>17</v>
      </c>
      <c r="I41" s="21">
        <v>60000000</v>
      </c>
      <c r="J41" s="50">
        <f t="shared" si="2"/>
        <v>69000000</v>
      </c>
      <c r="K41" s="50">
        <f t="shared" si="2"/>
        <v>77280000</v>
      </c>
      <c r="L41" s="50">
        <f t="shared" si="2"/>
        <v>84235200</v>
      </c>
      <c r="M41" s="50">
        <f t="shared" si="2"/>
        <v>90131664</v>
      </c>
    </row>
    <row r="42" spans="3:13" x14ac:dyDescent="0.3">
      <c r="D42" t="s">
        <v>18</v>
      </c>
      <c r="F42" s="25" t="s">
        <v>17</v>
      </c>
      <c r="I42" s="21">
        <v>800000</v>
      </c>
      <c r="J42" s="50">
        <f t="shared" si="2"/>
        <v>919999.99999999988</v>
      </c>
      <c r="K42" s="50">
        <f t="shared" si="2"/>
        <v>1030400</v>
      </c>
      <c r="L42" s="50">
        <f t="shared" si="2"/>
        <v>1123136</v>
      </c>
      <c r="M42" s="50">
        <f t="shared" si="2"/>
        <v>1201755.52</v>
      </c>
    </row>
    <row r="43" spans="3:13" x14ac:dyDescent="0.3"/>
    <row r="44" spans="3:13" x14ac:dyDescent="0.3">
      <c r="C44" s="26" t="s">
        <v>39</v>
      </c>
    </row>
    <row r="45" spans="3:13" x14ac:dyDescent="0.3">
      <c r="D45" t="s">
        <v>19</v>
      </c>
      <c r="F45" s="25" t="s">
        <v>0</v>
      </c>
      <c r="J45" s="28">
        <v>0.15</v>
      </c>
      <c r="K45" s="28">
        <v>0.12</v>
      </c>
      <c r="L45" s="28">
        <v>0.09</v>
      </c>
      <c r="M45" s="28">
        <v>7.0000000000000007E-2</v>
      </c>
    </row>
    <row r="46" spans="3:13" x14ac:dyDescent="0.3">
      <c r="D46" t="s">
        <v>20</v>
      </c>
      <c r="F46" s="25" t="s">
        <v>0</v>
      </c>
      <c r="J46" s="28">
        <v>0.15</v>
      </c>
      <c r="K46" s="28">
        <v>0.12</v>
      </c>
      <c r="L46" s="28">
        <v>0.09</v>
      </c>
      <c r="M46" s="28">
        <v>7.0000000000000007E-2</v>
      </c>
    </row>
    <row r="47" spans="3:13" x14ac:dyDescent="0.3">
      <c r="D47" t="s">
        <v>21</v>
      </c>
      <c r="F47" s="25" t="s">
        <v>0</v>
      </c>
      <c r="J47" s="28">
        <v>0.15</v>
      </c>
      <c r="K47" s="28">
        <v>0.12</v>
      </c>
      <c r="L47" s="28">
        <v>0.09</v>
      </c>
      <c r="M47" s="28">
        <v>7.0000000000000007E-2</v>
      </c>
    </row>
    <row r="48" spans="3:13" x14ac:dyDescent="0.3">
      <c r="D48" t="s">
        <v>18</v>
      </c>
      <c r="F48" s="25" t="s">
        <v>0</v>
      </c>
      <c r="J48" s="28">
        <v>0.15</v>
      </c>
      <c r="K48" s="28">
        <v>0.12</v>
      </c>
      <c r="L48" s="28">
        <v>0.09</v>
      </c>
      <c r="M48" s="28">
        <v>7.0000000000000007E-2</v>
      </c>
    </row>
    <row r="49" spans="2:13" x14ac:dyDescent="0.3"/>
    <row r="50" spans="2:13" x14ac:dyDescent="0.3">
      <c r="C50" s="26" t="s">
        <v>42</v>
      </c>
    </row>
    <row r="51" spans="2:13" x14ac:dyDescent="0.3">
      <c r="D51" t="s">
        <v>19</v>
      </c>
      <c r="F51" s="25" t="s">
        <v>0</v>
      </c>
      <c r="I51" s="28">
        <v>0.01</v>
      </c>
      <c r="J51" s="28">
        <v>0.01</v>
      </c>
      <c r="K51" s="28">
        <v>0.01</v>
      </c>
      <c r="L51" s="28">
        <v>0.01</v>
      </c>
      <c r="M51" s="28">
        <v>0.01</v>
      </c>
    </row>
    <row r="52" spans="2:13" x14ac:dyDescent="0.3">
      <c r="D52" t="s">
        <v>20</v>
      </c>
      <c r="F52" s="25" t="s">
        <v>0</v>
      </c>
      <c r="I52" s="28">
        <v>2.5000000000000001E-2</v>
      </c>
      <c r="J52" s="28">
        <v>2.5000000000000001E-2</v>
      </c>
      <c r="K52" s="28">
        <v>2.5000000000000001E-2</v>
      </c>
      <c r="L52" s="28">
        <v>2.5000000000000001E-2</v>
      </c>
      <c r="M52" s="28">
        <v>2.5000000000000001E-2</v>
      </c>
    </row>
    <row r="53" spans="2:13" x14ac:dyDescent="0.3">
      <c r="D53" t="s">
        <v>21</v>
      </c>
      <c r="F53" s="25" t="s">
        <v>0</v>
      </c>
      <c r="I53" s="28">
        <v>0.02</v>
      </c>
      <c r="J53" s="28">
        <v>0.02</v>
      </c>
      <c r="K53" s="28">
        <v>0.02</v>
      </c>
      <c r="L53" s="28">
        <v>0.02</v>
      </c>
      <c r="M53" s="28">
        <v>0.02</v>
      </c>
    </row>
    <row r="54" spans="2:13" x14ac:dyDescent="0.3">
      <c r="D54" t="s">
        <v>18</v>
      </c>
      <c r="F54" s="25" t="s">
        <v>0</v>
      </c>
      <c r="I54" s="28">
        <v>1.4999999999999999E-2</v>
      </c>
      <c r="J54" s="28">
        <v>1.4999999999999999E-2</v>
      </c>
      <c r="K54" s="28">
        <v>1.4999999999999999E-2</v>
      </c>
      <c r="L54" s="28">
        <v>1.4999999999999999E-2</v>
      </c>
      <c r="M54" s="28">
        <v>1.4999999999999999E-2</v>
      </c>
    </row>
    <row r="55" spans="2:13" x14ac:dyDescent="0.3"/>
    <row r="56" spans="2:13" ht="15.6" x14ac:dyDescent="0.3">
      <c r="B56" s="30" t="s">
        <v>24</v>
      </c>
      <c r="C56" s="31"/>
      <c r="D56" s="31"/>
      <c r="E56" s="31"/>
      <c r="F56" s="32"/>
      <c r="G56" s="31"/>
      <c r="H56" s="31"/>
      <c r="I56" s="31"/>
      <c r="J56" s="31"/>
      <c r="K56" s="31"/>
      <c r="L56" s="31"/>
      <c r="M56" s="33"/>
    </row>
    <row r="57" spans="2:13" x14ac:dyDescent="0.3">
      <c r="I57" s="29"/>
    </row>
    <row r="58" spans="2:13" x14ac:dyDescent="0.3">
      <c r="C58" s="26" t="s">
        <v>27</v>
      </c>
    </row>
    <row r="59" spans="2:13" x14ac:dyDescent="0.3">
      <c r="D59" t="s">
        <v>28</v>
      </c>
      <c r="F59" s="25" t="s">
        <v>23</v>
      </c>
      <c r="I59" s="21">
        <v>20</v>
      </c>
      <c r="J59" s="50">
        <f>ROUND(I59*(1+J60),0)</f>
        <v>28</v>
      </c>
      <c r="K59" s="50">
        <f t="shared" ref="K59:M59" si="3">ROUND(J59*(1+K60),0)</f>
        <v>36</v>
      </c>
      <c r="L59" s="50">
        <f t="shared" si="3"/>
        <v>45</v>
      </c>
      <c r="M59" s="50">
        <f t="shared" si="3"/>
        <v>54</v>
      </c>
    </row>
    <row r="60" spans="2:13" x14ac:dyDescent="0.3">
      <c r="D60" t="s">
        <v>32</v>
      </c>
      <c r="F60" s="25" t="s">
        <v>0</v>
      </c>
      <c r="J60" s="28">
        <v>0.4</v>
      </c>
      <c r="K60" s="28">
        <v>0.3</v>
      </c>
      <c r="L60" s="28">
        <v>0.25</v>
      </c>
      <c r="M60" s="28">
        <v>0.2</v>
      </c>
    </row>
    <row r="61" spans="2:13" x14ac:dyDescent="0.3">
      <c r="D61" t="s">
        <v>29</v>
      </c>
      <c r="F61" s="25" t="s">
        <v>17</v>
      </c>
      <c r="I61" s="21">
        <v>520000000</v>
      </c>
      <c r="J61" s="50">
        <f t="shared" ref="J61:M61" si="4">I61*(1+J62)</f>
        <v>546000000</v>
      </c>
      <c r="K61" s="50">
        <f t="shared" si="4"/>
        <v>573300000</v>
      </c>
      <c r="L61" s="50">
        <f t="shared" si="4"/>
        <v>601965000</v>
      </c>
      <c r="M61" s="50">
        <f t="shared" si="4"/>
        <v>632063250</v>
      </c>
    </row>
    <row r="62" spans="2:13" x14ac:dyDescent="0.3">
      <c r="D62" t="s">
        <v>33</v>
      </c>
      <c r="F62" s="25" t="s">
        <v>0</v>
      </c>
      <c r="J62" s="28">
        <v>0.05</v>
      </c>
      <c r="K62" s="28">
        <v>0.05</v>
      </c>
      <c r="L62" s="28">
        <v>0.05</v>
      </c>
      <c r="M62" s="28">
        <v>0.05</v>
      </c>
    </row>
    <row r="63" spans="2:13" x14ac:dyDescent="0.3">
      <c r="D63" t="s">
        <v>30</v>
      </c>
      <c r="F63" s="25" t="s">
        <v>0</v>
      </c>
      <c r="I63" s="28">
        <v>0.01</v>
      </c>
      <c r="J63" s="28">
        <v>0.01</v>
      </c>
      <c r="K63" s="28">
        <v>0.01</v>
      </c>
      <c r="L63" s="28">
        <v>0.01</v>
      </c>
      <c r="M63" s="28">
        <v>0.01</v>
      </c>
    </row>
    <row r="64" spans="2:13" x14ac:dyDescent="0.3">
      <c r="I64" s="29"/>
    </row>
    <row r="65" spans="2:13" x14ac:dyDescent="0.3">
      <c r="C65" s="26" t="s">
        <v>36</v>
      </c>
    </row>
    <row r="66" spans="2:13" x14ac:dyDescent="0.3">
      <c r="D66" t="s">
        <v>34</v>
      </c>
      <c r="F66" s="25" t="s">
        <v>23</v>
      </c>
      <c r="I66" s="21">
        <v>250</v>
      </c>
      <c r="J66" s="50">
        <f>ROUND(I66*(1+J67),0)</f>
        <v>313</v>
      </c>
      <c r="K66" s="50">
        <f t="shared" ref="K66:M66" si="5">ROUND(J66*(1+K67),0)</f>
        <v>376</v>
      </c>
      <c r="L66" s="50">
        <f t="shared" si="5"/>
        <v>432</v>
      </c>
      <c r="M66" s="50">
        <f t="shared" si="5"/>
        <v>475</v>
      </c>
    </row>
    <row r="67" spans="2:13" x14ac:dyDescent="0.3">
      <c r="D67" t="s">
        <v>35</v>
      </c>
      <c r="F67" s="25" t="s">
        <v>0</v>
      </c>
      <c r="J67" s="28">
        <v>0.25</v>
      </c>
      <c r="K67" s="28">
        <v>0.2</v>
      </c>
      <c r="L67" s="28">
        <v>0.15</v>
      </c>
      <c r="M67" s="28">
        <v>0.1</v>
      </c>
    </row>
    <row r="68" spans="2:13" x14ac:dyDescent="0.3">
      <c r="D68" t="s">
        <v>37</v>
      </c>
      <c r="F68" s="25" t="s">
        <v>17</v>
      </c>
      <c r="I68" s="21">
        <v>25000000</v>
      </c>
      <c r="J68" s="50">
        <f>I68*(1+J69)</f>
        <v>26250000</v>
      </c>
      <c r="K68" s="50">
        <f t="shared" ref="K68:M68" si="6">J68*(1+K69)</f>
        <v>27562500</v>
      </c>
      <c r="L68" s="50">
        <f t="shared" si="6"/>
        <v>28940625</v>
      </c>
      <c r="M68" s="50">
        <f t="shared" si="6"/>
        <v>30387656.25</v>
      </c>
    </row>
    <row r="69" spans="2:13" x14ac:dyDescent="0.3">
      <c r="D69" t="s">
        <v>38</v>
      </c>
      <c r="F69" s="25" t="s">
        <v>0</v>
      </c>
      <c r="J69" s="28">
        <v>0.05</v>
      </c>
      <c r="K69" s="28">
        <v>0.05</v>
      </c>
      <c r="L69" s="28">
        <v>0.05</v>
      </c>
      <c r="M69" s="28">
        <v>0.05</v>
      </c>
    </row>
    <row r="70" spans="2:13" x14ac:dyDescent="0.3">
      <c r="D70" t="s">
        <v>31</v>
      </c>
      <c r="F70" s="25" t="s">
        <v>0</v>
      </c>
      <c r="I70" s="28">
        <v>2E-3</v>
      </c>
      <c r="J70" s="28">
        <v>2E-3</v>
      </c>
      <c r="K70" s="28">
        <v>2E-3</v>
      </c>
      <c r="L70" s="28">
        <v>2E-3</v>
      </c>
      <c r="M70" s="28">
        <v>2E-3</v>
      </c>
    </row>
    <row r="71" spans="2:13" x14ac:dyDescent="0.3"/>
    <row r="72" spans="2:13" ht="15.6" x14ac:dyDescent="0.3">
      <c r="B72" s="30" t="s">
        <v>97</v>
      </c>
      <c r="C72" s="31"/>
      <c r="D72" s="31"/>
      <c r="E72" s="31"/>
      <c r="F72" s="32"/>
      <c r="G72" s="31"/>
      <c r="H72" s="31"/>
      <c r="I72" s="31"/>
      <c r="J72" s="31"/>
      <c r="K72" s="31"/>
      <c r="L72" s="31"/>
      <c r="M72" s="33"/>
    </row>
    <row r="73" spans="2:13" x14ac:dyDescent="0.3"/>
    <row r="74" spans="2:13" x14ac:dyDescent="0.3">
      <c r="C74" s="26" t="s">
        <v>43</v>
      </c>
    </row>
    <row r="75" spans="2:13" x14ac:dyDescent="0.3">
      <c r="D75" t="s">
        <v>44</v>
      </c>
      <c r="F75" s="25" t="s">
        <v>17</v>
      </c>
      <c r="I75" s="21">
        <v>325000000</v>
      </c>
      <c r="J75" s="50">
        <f>I75*(1+J76)</f>
        <v>455000000</v>
      </c>
      <c r="K75" s="50">
        <f t="shared" ref="K75:M75" si="7">J75*(1+K76)</f>
        <v>614250000</v>
      </c>
      <c r="L75" s="50">
        <f t="shared" si="7"/>
        <v>767812500</v>
      </c>
      <c r="M75" s="50">
        <f t="shared" si="7"/>
        <v>882984374.99999988</v>
      </c>
    </row>
    <row r="76" spans="2:13" x14ac:dyDescent="0.3">
      <c r="D76" t="s">
        <v>45</v>
      </c>
      <c r="F76" s="25" t="s">
        <v>0</v>
      </c>
      <c r="J76" s="28">
        <v>0.4</v>
      </c>
      <c r="K76" s="28">
        <v>0.35</v>
      </c>
      <c r="L76" s="28">
        <v>0.25</v>
      </c>
      <c r="M76" s="28">
        <v>0.15</v>
      </c>
    </row>
    <row r="77" spans="2:13" x14ac:dyDescent="0.3">
      <c r="D77" t="s">
        <v>26</v>
      </c>
      <c r="F77" s="25" t="s">
        <v>0</v>
      </c>
      <c r="I77" s="28">
        <v>3.5000000000000003E-2</v>
      </c>
      <c r="J77" s="28">
        <v>3.5000000000000003E-2</v>
      </c>
      <c r="K77" s="28">
        <v>3.5000000000000003E-2</v>
      </c>
      <c r="L77" s="28">
        <v>3.5000000000000003E-2</v>
      </c>
      <c r="M77" s="28">
        <v>3.5000000000000003E-2</v>
      </c>
    </row>
    <row r="78" spans="2:13" x14ac:dyDescent="0.3"/>
    <row r="79" spans="2:13" x14ac:dyDescent="0.3">
      <c r="C79" s="26" t="s">
        <v>46</v>
      </c>
    </row>
    <row r="80" spans="2:13" x14ac:dyDescent="0.3">
      <c r="D80" t="s">
        <v>44</v>
      </c>
      <c r="F80" s="25" t="s">
        <v>17</v>
      </c>
      <c r="I80" s="21">
        <v>175000000</v>
      </c>
      <c r="J80" s="50">
        <f>I80*(1+J81)</f>
        <v>244999999.99999997</v>
      </c>
      <c r="K80" s="50">
        <f t="shared" ref="K80" si="8">J80*(1+K81)</f>
        <v>330750000</v>
      </c>
      <c r="L80" s="50">
        <f t="shared" ref="L80" si="9">K80*(1+L81)</f>
        <v>413437500</v>
      </c>
      <c r="M80" s="50">
        <f t="shared" ref="M80" si="10">L80*(1+M81)</f>
        <v>475453124.99999994</v>
      </c>
    </row>
    <row r="81" spans="2:13" x14ac:dyDescent="0.3">
      <c r="D81" t="s">
        <v>45</v>
      </c>
      <c r="F81" s="25" t="s">
        <v>0</v>
      </c>
      <c r="J81" s="28">
        <v>0.4</v>
      </c>
      <c r="K81" s="28">
        <v>0.35</v>
      </c>
      <c r="L81" s="28">
        <v>0.25</v>
      </c>
      <c r="M81" s="28">
        <v>0.15</v>
      </c>
    </row>
    <row r="82" spans="2:13" x14ac:dyDescent="0.3">
      <c r="D82" t="s">
        <v>26</v>
      </c>
      <c r="F82" s="25" t="s">
        <v>0</v>
      </c>
      <c r="G82" s="36"/>
      <c r="I82" s="28">
        <v>0</v>
      </c>
      <c r="J82" s="28">
        <v>0</v>
      </c>
      <c r="K82" s="28">
        <v>0</v>
      </c>
      <c r="L82" s="28">
        <v>0</v>
      </c>
      <c r="M82" s="28">
        <v>0</v>
      </c>
    </row>
    <row r="83" spans="2:13" x14ac:dyDescent="0.3"/>
    <row r="84" spans="2:13" x14ac:dyDescent="0.3">
      <c r="C84" s="26" t="s">
        <v>47</v>
      </c>
    </row>
    <row r="85" spans="2:13" x14ac:dyDescent="0.3">
      <c r="D85" t="s">
        <v>48</v>
      </c>
      <c r="F85" s="25" t="s">
        <v>0</v>
      </c>
      <c r="I85" s="28">
        <v>0.35</v>
      </c>
      <c r="J85" s="28">
        <v>0.35</v>
      </c>
      <c r="K85" s="28">
        <v>0.38</v>
      </c>
      <c r="L85" s="28">
        <v>0.42</v>
      </c>
      <c r="M85" s="28">
        <v>0.48</v>
      </c>
    </row>
    <row r="86" spans="2:13" x14ac:dyDescent="0.3">
      <c r="D86" t="s">
        <v>26</v>
      </c>
      <c r="F86" s="25" t="s">
        <v>0</v>
      </c>
      <c r="I86" s="28">
        <v>7.4999999999999997E-2</v>
      </c>
      <c r="J86" s="28">
        <v>7.4999999999999997E-2</v>
      </c>
      <c r="K86" s="28">
        <v>7.4999999999999997E-2</v>
      </c>
      <c r="L86" s="28">
        <v>7.4999999999999997E-2</v>
      </c>
      <c r="M86" s="28">
        <v>7.4999999999999997E-2</v>
      </c>
    </row>
    <row r="87" spans="2:13" x14ac:dyDescent="0.3"/>
    <row r="88" spans="2:13" x14ac:dyDescent="0.3">
      <c r="C88" s="26" t="s">
        <v>49</v>
      </c>
      <c r="G88" s="36"/>
    </row>
    <row r="89" spans="2:13" x14ac:dyDescent="0.3">
      <c r="D89" t="s">
        <v>26</v>
      </c>
      <c r="F89" s="25" t="s">
        <v>0</v>
      </c>
      <c r="I89" s="28">
        <v>0.09</v>
      </c>
      <c r="J89" s="28">
        <v>0.09</v>
      </c>
      <c r="K89" s="28">
        <v>0.09</v>
      </c>
      <c r="L89" s="28">
        <v>0.09</v>
      </c>
      <c r="M89" s="28">
        <v>0.09</v>
      </c>
    </row>
    <row r="90" spans="2:13" x14ac:dyDescent="0.3">
      <c r="C90" s="26"/>
      <c r="I90" s="29"/>
    </row>
    <row r="91" spans="2:13" x14ac:dyDescent="0.3">
      <c r="C91" s="26" t="s">
        <v>166</v>
      </c>
      <c r="G91" s="36"/>
      <c r="I91" s="29"/>
    </row>
    <row r="92" spans="2:13" x14ac:dyDescent="0.3">
      <c r="C92" s="26"/>
      <c r="D92" t="s">
        <v>167</v>
      </c>
      <c r="F92" s="25" t="s">
        <v>0</v>
      </c>
      <c r="I92" s="28">
        <v>0.1</v>
      </c>
      <c r="J92" s="28">
        <v>0.1</v>
      </c>
      <c r="K92" s="28">
        <v>0.1</v>
      </c>
      <c r="L92" s="28">
        <v>0.1</v>
      </c>
      <c r="M92" s="28">
        <v>0.1</v>
      </c>
    </row>
    <row r="93" spans="2:13" x14ac:dyDescent="0.3">
      <c r="C93" s="26"/>
      <c r="D93" t="s">
        <v>75</v>
      </c>
      <c r="F93" s="25" t="s">
        <v>0</v>
      </c>
      <c r="I93" s="28">
        <v>2E-3</v>
      </c>
      <c r="J93" s="28">
        <v>2E-3</v>
      </c>
      <c r="K93" s="28">
        <v>2E-3</v>
      </c>
      <c r="L93" s="28">
        <v>2E-3</v>
      </c>
      <c r="M93" s="28">
        <v>2E-3</v>
      </c>
    </row>
    <row r="94" spans="2:13" x14ac:dyDescent="0.3">
      <c r="C94" s="26"/>
      <c r="I94" s="29"/>
    </row>
    <row r="95" spans="2:13" x14ac:dyDescent="0.3">
      <c r="C95" s="26"/>
      <c r="I95" s="29"/>
    </row>
    <row r="96" spans="2:13" ht="15.6" x14ac:dyDescent="0.3">
      <c r="B96" s="30" t="s">
        <v>50</v>
      </c>
      <c r="C96" s="31"/>
      <c r="D96" s="31"/>
      <c r="E96" s="31"/>
      <c r="F96" s="32"/>
      <c r="G96" s="31"/>
      <c r="H96" s="31"/>
      <c r="I96" s="31"/>
      <c r="J96" s="31"/>
      <c r="K96" s="31"/>
      <c r="L96" s="31"/>
      <c r="M96" s="33"/>
    </row>
    <row r="97" spans="2:13" x14ac:dyDescent="0.3"/>
    <row r="98" spans="2:13" x14ac:dyDescent="0.3">
      <c r="C98" s="26" t="s">
        <v>8</v>
      </c>
      <c r="J98" s="49"/>
    </row>
    <row r="99" spans="2:13" x14ac:dyDescent="0.3">
      <c r="D99" t="s">
        <v>51</v>
      </c>
      <c r="F99" s="25" t="s">
        <v>17</v>
      </c>
      <c r="I99" s="21">
        <v>115000000</v>
      </c>
      <c r="J99" s="21">
        <v>30000000</v>
      </c>
      <c r="K99" s="21">
        <v>45000000</v>
      </c>
      <c r="L99" s="21">
        <v>60000000</v>
      </c>
      <c r="M99" s="21">
        <v>85000000</v>
      </c>
    </row>
    <row r="100" spans="2:13" x14ac:dyDescent="0.3">
      <c r="D100" t="s">
        <v>52</v>
      </c>
      <c r="F100" s="25" t="s">
        <v>17</v>
      </c>
      <c r="I100" s="21">
        <v>180000000</v>
      </c>
      <c r="J100" s="21">
        <v>50000000</v>
      </c>
      <c r="K100" s="21">
        <v>60000000</v>
      </c>
      <c r="L100" s="21">
        <v>75000000</v>
      </c>
      <c r="M100" s="21">
        <v>105000000</v>
      </c>
    </row>
    <row r="101" spans="2:13" x14ac:dyDescent="0.3"/>
    <row r="102" spans="2:13" x14ac:dyDescent="0.3">
      <c r="C102" s="26" t="s">
        <v>53</v>
      </c>
    </row>
    <row r="103" spans="2:13" x14ac:dyDescent="0.3">
      <c r="D103" t="s">
        <v>51</v>
      </c>
      <c r="F103" s="25" t="s">
        <v>1</v>
      </c>
      <c r="H103" s="21">
        <v>7</v>
      </c>
    </row>
    <row r="104" spans="2:13" x14ac:dyDescent="0.3">
      <c r="D104" t="s">
        <v>52</v>
      </c>
      <c r="F104" s="25" t="s">
        <v>1</v>
      </c>
      <c r="H104" s="21">
        <v>5</v>
      </c>
    </row>
    <row r="105" spans="2:13" x14ac:dyDescent="0.3"/>
    <row r="106" spans="2:13" ht="15.6" x14ac:dyDescent="0.3">
      <c r="B106" s="30" t="s">
        <v>54</v>
      </c>
      <c r="C106" s="31"/>
      <c r="D106" s="31"/>
      <c r="E106" s="31"/>
      <c r="F106" s="32"/>
      <c r="G106" s="31"/>
      <c r="H106" s="31"/>
      <c r="I106" s="31"/>
      <c r="J106" s="31"/>
      <c r="K106" s="31"/>
      <c r="L106" s="31"/>
      <c r="M106" s="33"/>
    </row>
    <row r="107" spans="2:13" x14ac:dyDescent="0.3"/>
    <row r="108" spans="2:13" x14ac:dyDescent="0.3">
      <c r="C108" s="26" t="s">
        <v>57</v>
      </c>
    </row>
    <row r="109" spans="2:13" x14ac:dyDescent="0.3">
      <c r="D109" t="s">
        <v>55</v>
      </c>
      <c r="F109" s="25" t="s">
        <v>23</v>
      </c>
      <c r="I109" s="21">
        <v>2</v>
      </c>
      <c r="J109" s="21">
        <v>3</v>
      </c>
      <c r="K109" s="21">
        <v>3</v>
      </c>
      <c r="L109" s="21">
        <v>5</v>
      </c>
      <c r="M109" s="21">
        <v>6</v>
      </c>
    </row>
    <row r="110" spans="2:13" x14ac:dyDescent="0.3">
      <c r="D110" t="s">
        <v>56</v>
      </c>
      <c r="F110" s="25" t="s">
        <v>23</v>
      </c>
      <c r="I110" s="21">
        <v>6</v>
      </c>
      <c r="J110" s="21">
        <v>11</v>
      </c>
      <c r="K110" s="21">
        <v>11</v>
      </c>
      <c r="L110" s="21">
        <v>13</v>
      </c>
      <c r="M110" s="21">
        <v>14</v>
      </c>
    </row>
    <row r="111" spans="2:13" x14ac:dyDescent="0.3">
      <c r="D111" t="s">
        <v>58</v>
      </c>
      <c r="F111" s="25" t="s">
        <v>23</v>
      </c>
      <c r="I111" s="21">
        <v>9</v>
      </c>
      <c r="J111" s="21">
        <v>17</v>
      </c>
      <c r="K111" s="21">
        <v>19</v>
      </c>
      <c r="L111" s="21">
        <v>19</v>
      </c>
      <c r="M111" s="21">
        <v>22</v>
      </c>
    </row>
    <row r="112" spans="2:13" x14ac:dyDescent="0.3">
      <c r="D112" t="s">
        <v>59</v>
      </c>
      <c r="F112" s="25" t="s">
        <v>23</v>
      </c>
      <c r="I112" s="21">
        <v>18</v>
      </c>
      <c r="J112" s="21">
        <v>32</v>
      </c>
      <c r="K112" s="21">
        <v>37</v>
      </c>
      <c r="L112" s="21">
        <v>44</v>
      </c>
      <c r="M112" s="21">
        <v>47</v>
      </c>
    </row>
    <row r="113" spans="3:13" x14ac:dyDescent="0.3">
      <c r="D113" t="s">
        <v>60</v>
      </c>
      <c r="F113" s="25" t="s">
        <v>23</v>
      </c>
      <c r="I113" s="21">
        <v>22</v>
      </c>
      <c r="J113" s="21">
        <v>35</v>
      </c>
      <c r="K113" s="21">
        <v>39</v>
      </c>
      <c r="L113" s="21">
        <v>44</v>
      </c>
      <c r="M113" s="21">
        <v>48</v>
      </c>
    </row>
    <row r="114" spans="3:13" x14ac:dyDescent="0.3">
      <c r="D114" t="s">
        <v>9</v>
      </c>
      <c r="F114" s="25" t="s">
        <v>23</v>
      </c>
      <c r="I114" s="50">
        <f>SUM(I109:I113)</f>
        <v>57</v>
      </c>
      <c r="J114" s="50">
        <f t="shared" ref="J114:M114" si="11">SUM(J109:J113)</f>
        <v>98</v>
      </c>
      <c r="K114" s="50">
        <f t="shared" si="11"/>
        <v>109</v>
      </c>
      <c r="L114" s="50">
        <f t="shared" si="11"/>
        <v>125</v>
      </c>
      <c r="M114" s="50">
        <f t="shared" si="11"/>
        <v>137</v>
      </c>
    </row>
    <row r="115" spans="3:13" x14ac:dyDescent="0.3">
      <c r="J115" s="35"/>
      <c r="K115" s="35"/>
      <c r="L115" s="35"/>
      <c r="M115" s="35"/>
    </row>
    <row r="116" spans="3:13" x14ac:dyDescent="0.3">
      <c r="C116" s="26" t="s">
        <v>158</v>
      </c>
      <c r="L116" s="6"/>
    </row>
    <row r="117" spans="3:13" x14ac:dyDescent="0.3">
      <c r="D117" t="s">
        <v>55</v>
      </c>
      <c r="F117" s="25" t="s">
        <v>17</v>
      </c>
      <c r="I117" s="21">
        <v>5000000</v>
      </c>
      <c r="J117" s="50">
        <f>I117*(1+J124)</f>
        <v>5375000</v>
      </c>
      <c r="K117" s="50">
        <f t="shared" ref="K117:M117" si="12">J117*(1+K124)</f>
        <v>5778125</v>
      </c>
      <c r="L117" s="50">
        <f t="shared" si="12"/>
        <v>6182593.75</v>
      </c>
      <c r="M117" s="50">
        <f t="shared" si="12"/>
        <v>6615375.3125</v>
      </c>
    </row>
    <row r="118" spans="3:13" x14ac:dyDescent="0.3">
      <c r="D118" t="s">
        <v>56</v>
      </c>
      <c r="F118" s="25" t="s">
        <v>17</v>
      </c>
      <c r="I118" s="21">
        <v>1800000</v>
      </c>
      <c r="J118" s="50">
        <f t="shared" ref="J118:M118" si="13">I118*(1+J125)</f>
        <v>1935000</v>
      </c>
      <c r="K118" s="50">
        <f t="shared" si="13"/>
        <v>2080125</v>
      </c>
      <c r="L118" s="50">
        <f t="shared" si="13"/>
        <v>2225733.75</v>
      </c>
      <c r="M118" s="50">
        <f t="shared" si="13"/>
        <v>2381535.1125000003</v>
      </c>
    </row>
    <row r="119" spans="3:13" x14ac:dyDescent="0.3">
      <c r="D119" t="s">
        <v>58</v>
      </c>
      <c r="F119" s="25" t="s">
        <v>17</v>
      </c>
      <c r="I119" s="21">
        <v>1200000</v>
      </c>
      <c r="J119" s="50">
        <f t="shared" ref="J119:M119" si="14">I119*(1+J126)</f>
        <v>1290000</v>
      </c>
      <c r="K119" s="50">
        <f t="shared" si="14"/>
        <v>1386750</v>
      </c>
      <c r="L119" s="50">
        <f t="shared" si="14"/>
        <v>1483822.5</v>
      </c>
      <c r="M119" s="50">
        <f t="shared" si="14"/>
        <v>1587690.0750000002</v>
      </c>
    </row>
    <row r="120" spans="3:13" x14ac:dyDescent="0.3">
      <c r="D120" t="s">
        <v>59</v>
      </c>
      <c r="F120" s="25" t="s">
        <v>17</v>
      </c>
      <c r="I120" s="21">
        <v>500000</v>
      </c>
      <c r="J120" s="50">
        <f t="shared" ref="J120:M120" si="15">I120*(1+J127)</f>
        <v>537500</v>
      </c>
      <c r="K120" s="50">
        <f t="shared" si="15"/>
        <v>577812.5</v>
      </c>
      <c r="L120" s="50">
        <f t="shared" si="15"/>
        <v>618259.375</v>
      </c>
      <c r="M120" s="50">
        <f t="shared" si="15"/>
        <v>661537.53125</v>
      </c>
    </row>
    <row r="121" spans="3:13" x14ac:dyDescent="0.3">
      <c r="D121" t="s">
        <v>60</v>
      </c>
      <c r="F121" s="25" t="s">
        <v>17</v>
      </c>
      <c r="I121" s="21">
        <v>250000</v>
      </c>
      <c r="J121" s="50">
        <f t="shared" ref="J121:M121" si="16">I121*(1+J128)</f>
        <v>268750</v>
      </c>
      <c r="K121" s="50">
        <f t="shared" si="16"/>
        <v>288906.25</v>
      </c>
      <c r="L121" s="50">
        <f t="shared" si="16"/>
        <v>309129.6875</v>
      </c>
      <c r="M121" s="50">
        <f t="shared" si="16"/>
        <v>330768.765625</v>
      </c>
    </row>
    <row r="122" spans="3:13" x14ac:dyDescent="0.3"/>
    <row r="123" spans="3:13" x14ac:dyDescent="0.3">
      <c r="C123" s="26" t="s">
        <v>61</v>
      </c>
    </row>
    <row r="124" spans="3:13" x14ac:dyDescent="0.3">
      <c r="D124" t="s">
        <v>55</v>
      </c>
      <c r="F124" s="25" t="s">
        <v>0</v>
      </c>
      <c r="J124" s="28">
        <v>7.4999999999999997E-2</v>
      </c>
      <c r="K124" s="28">
        <v>7.4999999999999997E-2</v>
      </c>
      <c r="L124" s="28">
        <v>7.0000000000000007E-2</v>
      </c>
      <c r="M124" s="28">
        <v>7.0000000000000007E-2</v>
      </c>
    </row>
    <row r="125" spans="3:13" x14ac:dyDescent="0.3">
      <c r="D125" t="s">
        <v>56</v>
      </c>
      <c r="F125" s="25" t="s">
        <v>0</v>
      </c>
      <c r="J125" s="28">
        <v>7.4999999999999997E-2</v>
      </c>
      <c r="K125" s="28">
        <v>7.4999999999999997E-2</v>
      </c>
      <c r="L125" s="28">
        <v>7.0000000000000007E-2</v>
      </c>
      <c r="M125" s="28">
        <v>7.0000000000000007E-2</v>
      </c>
    </row>
    <row r="126" spans="3:13" x14ac:dyDescent="0.3">
      <c r="D126" t="s">
        <v>58</v>
      </c>
      <c r="F126" s="25" t="s">
        <v>0</v>
      </c>
      <c r="J126" s="28">
        <v>7.4999999999999997E-2</v>
      </c>
      <c r="K126" s="28">
        <v>7.4999999999999997E-2</v>
      </c>
      <c r="L126" s="28">
        <v>7.0000000000000007E-2</v>
      </c>
      <c r="M126" s="28">
        <v>7.0000000000000007E-2</v>
      </c>
    </row>
    <row r="127" spans="3:13" x14ac:dyDescent="0.3">
      <c r="D127" t="s">
        <v>59</v>
      </c>
      <c r="F127" s="25" t="s">
        <v>0</v>
      </c>
      <c r="J127" s="28">
        <v>7.4999999999999997E-2</v>
      </c>
      <c r="K127" s="28">
        <v>7.4999999999999997E-2</v>
      </c>
      <c r="L127" s="28">
        <v>7.0000000000000007E-2</v>
      </c>
      <c r="M127" s="28">
        <v>7.0000000000000007E-2</v>
      </c>
    </row>
    <row r="128" spans="3:13" x14ac:dyDescent="0.3">
      <c r="D128" t="s">
        <v>60</v>
      </c>
      <c r="F128" s="25" t="s">
        <v>0</v>
      </c>
      <c r="J128" s="28">
        <v>7.4999999999999997E-2</v>
      </c>
      <c r="K128" s="28">
        <v>7.4999999999999997E-2</v>
      </c>
      <c r="L128" s="28">
        <v>7.0000000000000007E-2</v>
      </c>
      <c r="M128" s="28">
        <v>7.0000000000000007E-2</v>
      </c>
    </row>
    <row r="129" spans="2:13" x14ac:dyDescent="0.3"/>
    <row r="130" spans="2:13" x14ac:dyDescent="0.3">
      <c r="C130" s="26" t="s">
        <v>62</v>
      </c>
    </row>
    <row r="131" spans="2:13" x14ac:dyDescent="0.3">
      <c r="D131" t="s">
        <v>55</v>
      </c>
      <c r="F131" s="25" t="s">
        <v>63</v>
      </c>
      <c r="I131" s="28">
        <v>0.25</v>
      </c>
      <c r="J131" s="28">
        <v>0.25</v>
      </c>
      <c r="K131" s="28">
        <v>0.25</v>
      </c>
      <c r="L131" s="28">
        <v>0.25</v>
      </c>
      <c r="M131" s="28">
        <v>0.25</v>
      </c>
    </row>
    <row r="132" spans="2:13" x14ac:dyDescent="0.3">
      <c r="D132" t="s">
        <v>56</v>
      </c>
      <c r="F132" s="25" t="s">
        <v>63</v>
      </c>
      <c r="I132" s="28">
        <v>0.2</v>
      </c>
      <c r="J132" s="28">
        <v>0.2</v>
      </c>
      <c r="K132" s="28">
        <v>0.2</v>
      </c>
      <c r="L132" s="28">
        <v>0.2</v>
      </c>
      <c r="M132" s="28">
        <v>0.2</v>
      </c>
    </row>
    <row r="133" spans="2:13" x14ac:dyDescent="0.3">
      <c r="D133" t="s">
        <v>58</v>
      </c>
      <c r="F133" s="25" t="s">
        <v>63</v>
      </c>
      <c r="I133" s="28">
        <v>0.15</v>
      </c>
      <c r="J133" s="28">
        <v>0.15</v>
      </c>
      <c r="K133" s="28">
        <v>0.15</v>
      </c>
      <c r="L133" s="28">
        <v>0.15</v>
      </c>
      <c r="M133" s="28">
        <v>0.15</v>
      </c>
    </row>
    <row r="134" spans="2:13" x14ac:dyDescent="0.3">
      <c r="D134" t="s">
        <v>59</v>
      </c>
      <c r="F134" s="25" t="s">
        <v>63</v>
      </c>
      <c r="I134" s="28">
        <v>0.1</v>
      </c>
      <c r="J134" s="28">
        <v>0.1</v>
      </c>
      <c r="K134" s="28">
        <v>0.1</v>
      </c>
      <c r="L134" s="28">
        <v>0.1</v>
      </c>
      <c r="M134" s="28">
        <v>0.1</v>
      </c>
    </row>
    <row r="135" spans="2:13" x14ac:dyDescent="0.3">
      <c r="D135" t="s">
        <v>60</v>
      </c>
      <c r="F135" s="25" t="s">
        <v>63</v>
      </c>
      <c r="I135" s="28">
        <v>0.1</v>
      </c>
      <c r="J135" s="28">
        <v>0.1</v>
      </c>
      <c r="K135" s="28">
        <v>0.1</v>
      </c>
      <c r="L135" s="28">
        <v>0.1</v>
      </c>
      <c r="M135" s="28">
        <v>0.1</v>
      </c>
    </row>
    <row r="136" spans="2:13" x14ac:dyDescent="0.3"/>
    <row r="137" spans="2:13" ht="15.6" x14ac:dyDescent="0.3">
      <c r="B137" s="30" t="s">
        <v>64</v>
      </c>
      <c r="C137" s="31"/>
      <c r="D137" s="31"/>
      <c r="E137" s="31"/>
      <c r="F137" s="32"/>
      <c r="G137" s="31"/>
      <c r="H137" s="31"/>
      <c r="I137" s="31"/>
      <c r="J137" s="31"/>
      <c r="K137" s="31"/>
      <c r="L137" s="31"/>
      <c r="M137" s="33"/>
    </row>
    <row r="138" spans="2:13" x14ac:dyDescent="0.3"/>
    <row r="139" spans="2:13" x14ac:dyDescent="0.3">
      <c r="C139" t="s">
        <v>65</v>
      </c>
      <c r="F139" s="25" t="s">
        <v>66</v>
      </c>
      <c r="I139" s="21">
        <v>4000</v>
      </c>
      <c r="J139" s="21">
        <v>4000</v>
      </c>
      <c r="K139" s="21">
        <v>5500</v>
      </c>
      <c r="L139" s="21">
        <v>5500</v>
      </c>
      <c r="M139" s="21">
        <v>7000</v>
      </c>
    </row>
    <row r="140" spans="2:13" x14ac:dyDescent="0.3">
      <c r="C140" t="s">
        <v>68</v>
      </c>
      <c r="F140" s="25" t="s">
        <v>17</v>
      </c>
      <c r="I140" s="21">
        <v>700</v>
      </c>
      <c r="J140" s="50">
        <f t="shared" ref="J140:M140" si="17">I140*(1+J141)</f>
        <v>749</v>
      </c>
      <c r="K140" s="50">
        <f t="shared" si="17"/>
        <v>801.43000000000006</v>
      </c>
      <c r="L140" s="50">
        <f t="shared" si="17"/>
        <v>857.53010000000006</v>
      </c>
      <c r="M140" s="50">
        <f t="shared" si="17"/>
        <v>917.55720700000006</v>
      </c>
    </row>
    <row r="141" spans="2:13" x14ac:dyDescent="0.3">
      <c r="C141" t="s">
        <v>67</v>
      </c>
      <c r="F141" s="25" t="s">
        <v>0</v>
      </c>
      <c r="J141" s="28">
        <v>7.0000000000000007E-2</v>
      </c>
      <c r="K141" s="28">
        <v>7.0000000000000007E-2</v>
      </c>
      <c r="L141" s="28">
        <v>7.0000000000000007E-2</v>
      </c>
      <c r="M141" s="28">
        <v>7.0000000000000007E-2</v>
      </c>
    </row>
    <row r="142" spans="2:13" x14ac:dyDescent="0.3"/>
    <row r="143" spans="2:13" ht="15.6" x14ac:dyDescent="0.3">
      <c r="B143" s="30" t="s">
        <v>70</v>
      </c>
      <c r="C143" s="31"/>
      <c r="D143" s="31"/>
      <c r="E143" s="31"/>
      <c r="F143" s="32"/>
      <c r="G143" s="31"/>
      <c r="H143" s="31"/>
      <c r="I143" s="31"/>
      <c r="J143" s="31"/>
      <c r="K143" s="31"/>
      <c r="L143" s="31"/>
      <c r="M143" s="33"/>
    </row>
    <row r="144" spans="2:13" x14ac:dyDescent="0.3"/>
    <row r="145" spans="2:13" x14ac:dyDescent="0.3">
      <c r="C145" t="s">
        <v>69</v>
      </c>
      <c r="F145" s="25" t="s">
        <v>23</v>
      </c>
      <c r="I145" s="21">
        <v>30</v>
      </c>
      <c r="J145" s="21">
        <v>38</v>
      </c>
      <c r="K145" s="21">
        <v>45</v>
      </c>
      <c r="L145" s="21">
        <v>58</v>
      </c>
      <c r="M145" s="21">
        <v>75</v>
      </c>
    </row>
    <row r="146" spans="2:13" x14ac:dyDescent="0.3">
      <c r="C146" t="s">
        <v>119</v>
      </c>
      <c r="F146" s="25" t="s">
        <v>17</v>
      </c>
      <c r="I146" s="21">
        <v>30000</v>
      </c>
      <c r="J146" s="50">
        <f>I146*(1+J147)</f>
        <v>32400.000000000004</v>
      </c>
      <c r="K146" s="50">
        <f t="shared" ref="K146:M146" si="18">J146*(1+K147)</f>
        <v>34992.000000000007</v>
      </c>
      <c r="L146" s="50">
        <f t="shared" si="18"/>
        <v>37791.360000000008</v>
      </c>
      <c r="M146" s="50">
        <f t="shared" si="18"/>
        <v>40814.668800000014</v>
      </c>
    </row>
    <row r="147" spans="2:13" x14ac:dyDescent="0.3">
      <c r="C147" t="s">
        <v>67</v>
      </c>
      <c r="F147" s="25" t="s">
        <v>0</v>
      </c>
      <c r="J147" s="28">
        <v>0.08</v>
      </c>
      <c r="K147" s="28">
        <v>0.08</v>
      </c>
      <c r="L147" s="28">
        <v>0.08</v>
      </c>
      <c r="M147" s="28">
        <v>0.08</v>
      </c>
    </row>
    <row r="148" spans="2:13" x14ac:dyDescent="0.3"/>
    <row r="149" spans="2:13" ht="15.6" x14ac:dyDescent="0.3">
      <c r="B149" s="30" t="s">
        <v>71</v>
      </c>
      <c r="C149" s="31"/>
      <c r="D149" s="31"/>
      <c r="E149" s="31"/>
      <c r="F149" s="32"/>
      <c r="G149" s="31"/>
      <c r="H149" s="31"/>
      <c r="I149" s="31"/>
      <c r="J149" s="31"/>
      <c r="K149" s="31"/>
      <c r="L149" s="31"/>
      <c r="M149" s="33"/>
    </row>
    <row r="150" spans="2:13" x14ac:dyDescent="0.3"/>
    <row r="151" spans="2:13" x14ac:dyDescent="0.3">
      <c r="C151" t="s">
        <v>71</v>
      </c>
      <c r="F151" s="25" t="s">
        <v>17</v>
      </c>
      <c r="I151" s="21">
        <v>5000000</v>
      </c>
      <c r="J151" s="50">
        <f>I151*(1+J152)</f>
        <v>5400000</v>
      </c>
      <c r="K151" s="50">
        <f t="shared" ref="K151" si="19">J151*(1+K152)</f>
        <v>5832000</v>
      </c>
      <c r="L151" s="50">
        <f t="shared" ref="L151" si="20">K151*(1+L152)</f>
        <v>6298560</v>
      </c>
      <c r="M151" s="50">
        <f t="shared" ref="M151" si="21">L151*(1+M152)</f>
        <v>6802444.8000000007</v>
      </c>
    </row>
    <row r="152" spans="2:13" x14ac:dyDescent="0.3">
      <c r="C152" t="s">
        <v>74</v>
      </c>
      <c r="F152" s="25" t="s">
        <v>0</v>
      </c>
      <c r="J152" s="28">
        <v>0.08</v>
      </c>
      <c r="K152" s="28">
        <v>0.08</v>
      </c>
      <c r="L152" s="28">
        <v>0.08</v>
      </c>
      <c r="M152" s="28">
        <v>0.08</v>
      </c>
    </row>
    <row r="153" spans="2:13" x14ac:dyDescent="0.3"/>
    <row r="154" spans="2:13" ht="15.6" x14ac:dyDescent="0.3">
      <c r="B154" s="30" t="s">
        <v>72</v>
      </c>
      <c r="C154" s="31"/>
      <c r="D154" s="31"/>
      <c r="E154" s="31"/>
      <c r="F154" s="32"/>
      <c r="G154" s="31"/>
      <c r="H154" s="31"/>
      <c r="I154" s="31"/>
      <c r="J154" s="31"/>
      <c r="K154" s="31"/>
      <c r="L154" s="31"/>
      <c r="M154" s="33"/>
    </row>
    <row r="155" spans="2:13" x14ac:dyDescent="0.3"/>
    <row r="156" spans="2:13" x14ac:dyDescent="0.3">
      <c r="C156" t="s">
        <v>73</v>
      </c>
      <c r="F156" s="25" t="s">
        <v>0</v>
      </c>
      <c r="H156" s="28">
        <v>0.25</v>
      </c>
    </row>
    <row r="157" spans="2:13" x14ac:dyDescent="0.3"/>
    <row r="158" spans="2:13" ht="15" thickBot="1" x14ac:dyDescent="0.35"/>
    <row r="159" spans="2:13" s="9" customFormat="1" x14ac:dyDescent="0.3">
      <c r="B159" s="8" t="s">
        <v>14</v>
      </c>
      <c r="C159" s="8"/>
    </row>
    <row r="160" spans="2:13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D222-E66C-4D29-AEAC-C0655F8FDCF8}">
  <sheetPr codeName="Sheet12"/>
  <dimension ref="A1:AI38"/>
  <sheetViews>
    <sheetView showGridLines="0" tabSelected="1" zoomScaleNormal="110" workbookViewId="0">
      <pane xSplit="8" ySplit="3" topLeftCell="I9" activePane="bottomRight" state="frozen"/>
      <selection pane="topRight" activeCell="G1" sqref="G1"/>
      <selection pane="bottomLeft" activeCell="A4" sqref="A4"/>
      <selection pane="bottomRight" activeCell="J31" sqref="J31"/>
    </sheetView>
  </sheetViews>
  <sheetFormatPr defaultColWidth="0" defaultRowHeight="14.4" customHeight="1" x14ac:dyDescent="0.3"/>
  <cols>
    <col min="1" max="1" width="1.44140625" customWidth="1"/>
    <col min="2" max="2" width="2.109375" customWidth="1"/>
    <col min="3" max="4" width="3.21875" customWidth="1"/>
    <col min="5" max="5" width="36.109375" customWidth="1"/>
    <col min="6" max="6" width="7.88671875" style="25" customWidth="1"/>
    <col min="7" max="7" width="30.6640625" customWidth="1"/>
    <col min="8" max="8" width="11.55468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193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4" spans="2:35" ht="14.4" customHeight="1" x14ac:dyDescent="0.3">
      <c r="I4" s="6"/>
    </row>
    <row r="5" spans="2:35" ht="14.4" customHeight="1" x14ac:dyDescent="0.3">
      <c r="C5" s="26" t="s">
        <v>182</v>
      </c>
      <c r="I5" s="6"/>
    </row>
    <row r="6" spans="2:35" s="6" customFormat="1" ht="14.4" customHeight="1" x14ac:dyDescent="0.3">
      <c r="D6" t="s">
        <v>183</v>
      </c>
      <c r="F6" s="25" t="s">
        <v>0</v>
      </c>
      <c r="G6"/>
      <c r="H6"/>
      <c r="I6" s="51" t="str">
        <f>IFERROR('Bal Sh'!I14/'Bal Sh'!H14-1,"n.a.")</f>
        <v>n.a.</v>
      </c>
      <c r="J6" s="51">
        <f>IFERROR('Bal Sh'!J14/'Bal Sh'!I14-1,"n.a.")</f>
        <v>0.88561868176304093</v>
      </c>
      <c r="K6" s="51">
        <f>IFERROR('Bal Sh'!K14/'Bal Sh'!J14-1,"n.a.")</f>
        <v>0.61016054649929719</v>
      </c>
      <c r="L6" s="51">
        <f>IFERROR('Bal Sh'!L14/'Bal Sh'!K14-1,"n.a.")</f>
        <v>0.36370134659919384</v>
      </c>
      <c r="M6" s="51">
        <f>IFERROR('Bal Sh'!M14/'Bal Sh'!L14-1,"n.a.")</f>
        <v>0.22543923875337635</v>
      </c>
    </row>
    <row r="7" spans="2:35" ht="14.4" customHeight="1" x14ac:dyDescent="0.3">
      <c r="D7" t="s">
        <v>138</v>
      </c>
      <c r="F7" s="25" t="s">
        <v>0</v>
      </c>
      <c r="I7" s="51" t="str">
        <f>IFERROR('Bal Sh'!I31/'Bal Sh'!H31-1,"n.a.")</f>
        <v>n.a.</v>
      </c>
      <c r="J7" s="51">
        <f>IFERROR('Bal Sh'!J31/'Bal Sh'!I31-1,"n.a.")</f>
        <v>0.40000000000000013</v>
      </c>
      <c r="K7" s="51">
        <f>IFERROR('Bal Sh'!K31/'Bal Sh'!J31-1,"n.a.")</f>
        <v>0.24342105263157876</v>
      </c>
      <c r="L7" s="51">
        <f>IFERROR('Bal Sh'!L31/'Bal Sh'!K31-1,"n.a.")</f>
        <v>0.13095238095238093</v>
      </c>
      <c r="M7" s="51">
        <f>IFERROR('Bal Sh'!M31/'Bal Sh'!L31-1,"n.a.")</f>
        <v>6.2499999999998668E-3</v>
      </c>
    </row>
    <row r="8" spans="2:35" ht="14.4" customHeight="1" x14ac:dyDescent="0.3">
      <c r="D8" t="s">
        <v>130</v>
      </c>
      <c r="F8" s="25" t="s">
        <v>0</v>
      </c>
      <c r="I8" s="51" t="str">
        <f ca="1">IFERROR('Bal Sh'!I26/'Bal Sh'!H26-1,"n.a.")</f>
        <v>n.a.</v>
      </c>
      <c r="J8" s="51">
        <f ca="1">IFERROR('Bal Sh'!J26/'Bal Sh'!I26-1,"n.a.")</f>
        <v>0.81784647775973918</v>
      </c>
      <c r="K8" s="51">
        <f ca="1">IFERROR('Bal Sh'!K26/'Bal Sh'!J26-1,"n.a.")</f>
        <v>0.58379340484908271</v>
      </c>
      <c r="L8" s="51">
        <f ca="1">IFERROR('Bal Sh'!L26/'Bal Sh'!K26-1,"n.a.")</f>
        <v>0.35405026132919404</v>
      </c>
      <c r="M8" s="51">
        <f ca="1">IFERROR('Bal Sh'!M26/'Bal Sh'!L26-1,"n.a.")</f>
        <v>0.22350163810179513</v>
      </c>
    </row>
    <row r="9" spans="2:35" ht="14.4" customHeight="1" x14ac:dyDescent="0.3">
      <c r="D9" t="s">
        <v>140</v>
      </c>
      <c r="F9" s="25" t="s">
        <v>0</v>
      </c>
      <c r="I9" s="51" t="str">
        <f ca="1">IFERROR('Bal Sh'!I39/'Bal Sh'!H39-1,"n.a.")</f>
        <v>n.a.</v>
      </c>
      <c r="J9" s="51">
        <f ca="1">IFERROR('Bal Sh'!J39/'Bal Sh'!I39-1,"n.a.")</f>
        <v>0.42495326166822744</v>
      </c>
      <c r="K9" s="51">
        <f ca="1">IFERROR('Bal Sh'!K39/'Bal Sh'!J39-1,"n.a.")</f>
        <v>0.47835648836405897</v>
      </c>
      <c r="L9" s="51">
        <f ca="1">IFERROR('Bal Sh'!L39/'Bal Sh'!K39-1,"n.a.")</f>
        <v>0.36426200013089072</v>
      </c>
      <c r="M9" s="51">
        <f ca="1">IFERROR('Bal Sh'!M39/'Bal Sh'!L39-1,"n.a.")</f>
        <v>0.22659503365701394</v>
      </c>
    </row>
    <row r="10" spans="2:35" ht="14.4" customHeight="1" x14ac:dyDescent="0.3">
      <c r="D10" t="s">
        <v>184</v>
      </c>
      <c r="F10" s="25" t="s">
        <v>0</v>
      </c>
      <c r="I10" s="51" t="str">
        <f ca="1">IFERROR('Bal Sh'!I34/'Bal Sh'!H34-1,"n.a.")</f>
        <v>n.a.</v>
      </c>
      <c r="J10" s="51">
        <f ca="1">IFERROR('Bal Sh'!J34/'Bal Sh'!I34-1,"n.a.")</f>
        <v>0.8889616641020559</v>
      </c>
      <c r="K10" s="51">
        <f ca="1">IFERROR('Bal Sh'!K34/'Bal Sh'!J34-1,"n.a.")</f>
        <v>0.59818994040918216</v>
      </c>
      <c r="L10" s="51">
        <f ca="1">IFERROR('Bal Sh'!L34/'Bal Sh'!K34-1,"n.a.")</f>
        <v>0.35276048092416779</v>
      </c>
      <c r="M10" s="51">
        <f ca="1">IFERROR('Bal Sh'!M34/'Bal Sh'!L34-1,"n.a.")</f>
        <v>0.22310760889979386</v>
      </c>
    </row>
    <row r="11" spans="2:35" ht="14.4" customHeight="1" x14ac:dyDescent="0.3">
      <c r="D11" t="s">
        <v>185</v>
      </c>
      <c r="F11" s="25" t="s">
        <v>0</v>
      </c>
      <c r="I11" s="51" t="str">
        <f ca="1">IFERROR('Inc St'!I9/'Inc St'!H9-1,"n.a.")</f>
        <v>n.a.</v>
      </c>
      <c r="J11" s="51">
        <f ca="1">IFERROR('Inc St'!J9/'Inc St'!I9-1,"n.a.")</f>
        <v>1.702989058483229</v>
      </c>
      <c r="K11" s="51">
        <f ca="1">IFERROR('Inc St'!K9/'Inc St'!J9-1,"n.a.")</f>
        <v>0.60213034068806737</v>
      </c>
      <c r="L11" s="51">
        <f ca="1">IFERROR('Inc St'!L9/'Inc St'!K9-1,"n.a.")</f>
        <v>0.42268070362331289</v>
      </c>
      <c r="M11" s="51">
        <f ca="1">IFERROR('Inc St'!M9/'Inc St'!L9-1,"n.a.")</f>
        <v>0.26315756469914775</v>
      </c>
    </row>
    <row r="12" spans="2:35" ht="14.4" customHeight="1" x14ac:dyDescent="0.3">
      <c r="D12" t="s">
        <v>154</v>
      </c>
      <c r="F12" s="25" t="s">
        <v>0</v>
      </c>
      <c r="I12" s="51" t="str">
        <f>IFERROR('Inc St'!I11/'Inc St'!H11-1,"n.a.")</f>
        <v>n.a.</v>
      </c>
      <c r="J12" s="51">
        <f>IFERROR('Inc St'!J11/'Inc St'!I11-1,"n.a.")</f>
        <v>0.45332618025751081</v>
      </c>
      <c r="K12" s="51">
        <f>IFERROR('Inc St'!K11/'Inc St'!J11-1,"n.a.")</f>
        <v>0.34139534883720946</v>
      </c>
      <c r="L12" s="51">
        <f>IFERROR('Inc St'!L11/'Inc St'!K11-1,"n.a.")</f>
        <v>0.30281553398058247</v>
      </c>
      <c r="M12" s="51">
        <f>IFERROR('Inc St'!M11/'Inc St'!L11-1,"n.a.")</f>
        <v>0.25108568075117388</v>
      </c>
    </row>
    <row r="13" spans="2:35" ht="14.4" customHeight="1" x14ac:dyDescent="0.3">
      <c r="D13" t="s">
        <v>186</v>
      </c>
      <c r="F13" s="25" t="s">
        <v>0</v>
      </c>
      <c r="I13" s="51" t="str">
        <f ca="1">IFERROR('Inc St'!I12/'Inc St'!H12-1,"n.a.")</f>
        <v>n.a.</v>
      </c>
      <c r="J13" s="51">
        <f ca="1">IFERROR('Inc St'!J12/'Inc St'!I12-1,"n.a.")</f>
        <v>0.8988676566662217</v>
      </c>
      <c r="K13" s="51">
        <f ca="1">IFERROR('Inc St'!K12/'Inc St'!J12-1,"n.a.")</f>
        <v>0.4737210428540215</v>
      </c>
      <c r="L13" s="51">
        <f ca="1">IFERROR('Inc St'!L12/'Inc St'!K12-1,"n.a.")</f>
        <v>0.36894886923247916</v>
      </c>
      <c r="M13" s="51">
        <f ca="1">IFERROR('Inc St'!M12/'Inc St'!L12-1,"n.a.")</f>
        <v>0.25800753876896665</v>
      </c>
    </row>
    <row r="14" spans="2:35" ht="14.4" customHeight="1" x14ac:dyDescent="0.3">
      <c r="D14" t="s">
        <v>187</v>
      </c>
      <c r="F14" s="25" t="s">
        <v>0</v>
      </c>
      <c r="I14" s="51" t="str">
        <f ca="1">IFERROR('Inc St'!I19/'Inc St'!H19-1,"n.a.")</f>
        <v>n.a.</v>
      </c>
      <c r="J14" s="51">
        <f ca="1">IFERROR('Inc St'!J19/'Inc St'!I19-1,"n.a.")</f>
        <v>0.56797439261877147</v>
      </c>
      <c r="K14" s="51">
        <f ca="1">IFERROR('Inc St'!K19/'Inc St'!J19-1,"n.a.")</f>
        <v>0.35873244063581611</v>
      </c>
      <c r="L14" s="51">
        <f ca="1">IFERROR('Inc St'!L19/'Inc St'!K19-1,"n.a.")</f>
        <v>0.22119573870382636</v>
      </c>
      <c r="M14" s="51">
        <f ca="1">IFERROR('Inc St'!M19/'Inc St'!L19-1,"n.a.")</f>
        <v>0.29512482122151651</v>
      </c>
    </row>
    <row r="15" spans="2:35" ht="14.4" customHeight="1" x14ac:dyDescent="0.3">
      <c r="D15" t="s">
        <v>188</v>
      </c>
      <c r="F15" s="25" t="s">
        <v>0</v>
      </c>
      <c r="I15" s="51" t="str">
        <f ca="1">IF(AND('Inc St'!I26&gt;0,'Inc St'!H26&gt;0),'Inc St'!I26/'Inc St'!H26-1,"n.a.")</f>
        <v>n.a.</v>
      </c>
      <c r="J15" s="51">
        <f ca="1">IF(AND('Inc St'!J26&gt;0,'Inc St'!I26&gt;0),'Inc St'!J26/'Inc St'!I26-1,"n.a.")</f>
        <v>18.203442994350908</v>
      </c>
      <c r="K15" s="51">
        <f ca="1">IF(AND('Inc St'!K26&gt;0,'Inc St'!J26&gt;0),'Inc St'!K26/'Inc St'!J26-1,"n.a.")</f>
        <v>0.7769306766983044</v>
      </c>
      <c r="L15" s="51">
        <f ca="1">IF(AND('Inc St'!L26&gt;0,'Inc St'!K26&gt;0),'Inc St'!L26/'Inc St'!K26-1,"n.a.")</f>
        <v>0.72232126945341446</v>
      </c>
      <c r="M15" s="51">
        <f ca="1">IF(AND('Inc St'!M26&gt;0,'Inc St'!L26&gt;0),'Inc St'!M26/'Inc St'!L26-1,"n.a.")</f>
        <v>0.28694871048349135</v>
      </c>
    </row>
    <row r="17" spans="2:13" ht="14.4" customHeight="1" x14ac:dyDescent="0.3">
      <c r="C17" s="26" t="s">
        <v>189</v>
      </c>
    </row>
    <row r="18" spans="2:13" ht="14.4" customHeight="1" x14ac:dyDescent="0.3">
      <c r="D18" t="s">
        <v>173</v>
      </c>
      <c r="F18" s="25" t="s">
        <v>0</v>
      </c>
      <c r="I18" s="51">
        <f ca="1">'Inc St'!I9/(('Bal Sh'!I14+'Bal Sh'!H14)/2)</f>
        <v>5.2203343958475631E-2</v>
      </c>
      <c r="J18" s="51">
        <f ca="1">'Inc St'!J9/(('Bal Sh'!J14+'Bal Sh'!I14)/2)</f>
        <v>4.8899415722449005E-2</v>
      </c>
      <c r="K18" s="51">
        <f ca="1">'Inc St'!K9/(('Bal Sh'!K14+'Bal Sh'!J14)/2)</f>
        <v>4.5932423755293474E-2</v>
      </c>
      <c r="L18" s="51">
        <f ca="1">'Inc St'!L9/(('Bal Sh'!L14+'Bal Sh'!K14)/2)</f>
        <v>4.4815912248778011E-2</v>
      </c>
      <c r="M18" s="51">
        <f ca="1">'Inc St'!M9/(('Bal Sh'!M14+'Bal Sh'!L14)/2)</f>
        <v>4.4090737212978667E-2</v>
      </c>
    </row>
    <row r="19" spans="2:13" s="6" customFormat="1" ht="14.4" customHeight="1" x14ac:dyDescent="0.3">
      <c r="D19" t="s">
        <v>175</v>
      </c>
      <c r="F19" s="25" t="s">
        <v>0</v>
      </c>
      <c r="G19"/>
      <c r="H19"/>
      <c r="I19" s="51">
        <f ca="1">'Inc St'!I9/'Inc St'!I12</f>
        <v>0.35652933616888288</v>
      </c>
      <c r="J19" s="51">
        <f ca="1">'Inc St'!J9/'Inc St'!J12</f>
        <v>0.50751030031482347</v>
      </c>
      <c r="K19" s="51">
        <f ca="1">'Inc St'!K9/'Inc St'!K12</f>
        <v>0.55173104454791488</v>
      </c>
      <c r="L19" s="51">
        <f ca="1">'Inc St'!L9/'Inc St'!L12</f>
        <v>0.57338672634890964</v>
      </c>
      <c r="M19" s="51">
        <f ca="1">'Inc St'!M9/'Inc St'!M12</f>
        <v>0.57573405449895254</v>
      </c>
    </row>
    <row r="20" spans="2:13" ht="14.4" customHeight="1" x14ac:dyDescent="0.3">
      <c r="D20" t="s">
        <v>174</v>
      </c>
      <c r="F20" s="25" t="s">
        <v>0</v>
      </c>
      <c r="I20" s="51">
        <f ca="1">1-I19</f>
        <v>0.64347066383111717</v>
      </c>
      <c r="J20" s="51">
        <f t="shared" ref="J20:M20" ca="1" si="1">1-J19</f>
        <v>0.49248969968517653</v>
      </c>
      <c r="K20" s="51">
        <f t="shared" ca="1" si="1"/>
        <v>0.44826895545208512</v>
      </c>
      <c r="L20" s="51">
        <f t="shared" ca="1" si="1"/>
        <v>0.42661327365109036</v>
      </c>
      <c r="M20" s="51">
        <f t="shared" ca="1" si="1"/>
        <v>0.42426594550104746</v>
      </c>
    </row>
    <row r="21" spans="2:13" ht="14.4" customHeight="1" x14ac:dyDescent="0.3">
      <c r="D21" t="s">
        <v>172</v>
      </c>
      <c r="F21" s="25" t="s">
        <v>0</v>
      </c>
      <c r="I21" s="51">
        <f ca="1">-'Inc St'!I19/'Inc St'!I12</f>
        <v>0.71109623494533669</v>
      </c>
      <c r="J21" s="51">
        <f ca="1">-'Inc St'!J19/'Inc St'!J12</f>
        <v>0.58718188345966338</v>
      </c>
      <c r="K21" s="51">
        <f ca="1">-'Inc St'!K19/'Inc St'!K12</f>
        <v>0.54136641223851456</v>
      </c>
      <c r="L21" s="51">
        <f ca="1">-'Inc St'!L19/'Inc St'!L12</f>
        <v>0.48293575498821678</v>
      </c>
      <c r="M21" s="51">
        <f ca="1">-'Inc St'!M19/'Inc St'!M12</f>
        <v>0.49718468615271044</v>
      </c>
    </row>
    <row r="22" spans="2:13" ht="14.4" customHeight="1" x14ac:dyDescent="0.3">
      <c r="D22" t="s">
        <v>181</v>
      </c>
      <c r="F22" s="25" t="s">
        <v>15</v>
      </c>
      <c r="I22" s="52">
        <f>'Bal Sh'!I14/'Bal Sh'!I31</f>
        <v>1.7310999999999999</v>
      </c>
      <c r="J22" s="52">
        <f>'Bal Sh'!J14/'Bal Sh'!J31</f>
        <v>2.3315674999999998</v>
      </c>
      <c r="K22" s="52">
        <f>'Bal Sh'!K14/'Bal Sh'!K31</f>
        <v>3.0192491851851853</v>
      </c>
      <c r="L22" s="52">
        <f>'Bal Sh'!L14/'Bal Sh'!L31</f>
        <v>3.6406079061333334</v>
      </c>
      <c r="M22" s="52">
        <f>'Bal Sh'!M14/'Bal Sh'!M31</f>
        <v>4.4336335712711126</v>
      </c>
    </row>
    <row r="23" spans="2:13" ht="14.4" customHeight="1" x14ac:dyDescent="0.3">
      <c r="D23" t="s">
        <v>190</v>
      </c>
      <c r="F23" s="25" t="s">
        <v>0</v>
      </c>
      <c r="I23" s="51">
        <f ca="1">'Inc St'!I26/(('Bal Sh'!H39+'Bal Sh'!I39)/2)</f>
        <v>1.7219992869974596E-2</v>
      </c>
      <c r="J23" s="51">
        <f ca="1">'Inc St'!J26/(('Bal Sh'!I39+'Bal Sh'!J39)/2)</f>
        <v>0.13636681443261936</v>
      </c>
      <c r="K23" s="51">
        <f ca="1">'Inc St'!K26/(('Bal Sh'!J39+'Bal Sh'!K39)/2)</f>
        <v>0.1663865272348822</v>
      </c>
      <c r="L23" s="51">
        <f ca="1">'Inc St'!L26/(('Bal Sh'!K39+'Bal Sh'!L39)/2)</f>
        <v>0.2031988867155102</v>
      </c>
      <c r="M23" s="51">
        <f ca="1">'Inc St'!M26/(('Bal Sh'!L39+'Bal Sh'!M39)/2)</f>
        <v>0.20353502117073227</v>
      </c>
    </row>
    <row r="24" spans="2:13" ht="14.4" customHeight="1" x14ac:dyDescent="0.3">
      <c r="D24" t="s">
        <v>191</v>
      </c>
      <c r="F24" s="25" t="s">
        <v>0</v>
      </c>
      <c r="I24" s="51">
        <f ca="1">'Inc St'!I26/(('Bal Sh'!H26+'Bal Sh'!I26)/2)</f>
        <v>2.6391828150919114E-3</v>
      </c>
      <c r="J24" s="51">
        <f ca="1">'Inc St'!J26/(('Bal Sh'!I26+'Bal Sh'!J26)/2)</f>
        <v>1.7985861593702256E-2</v>
      </c>
      <c r="K24" s="51">
        <f ca="1">'Inc St'!K26/(('Bal Sh'!J26+'Bal Sh'!K26)/2)</f>
        <v>1.917361805507329E-2</v>
      </c>
      <c r="L24" s="51">
        <f ca="1">'Inc St'!L26/(('Bal Sh'!K26+'Bal Sh'!L26)/2)</f>
        <v>2.2885571421800657E-2</v>
      </c>
      <c r="M24" s="51">
        <f ca="1">'Inc St'!M26/(('Bal Sh'!L26+'Bal Sh'!M26)/2)</f>
        <v>2.3028544619251502E-2</v>
      </c>
    </row>
    <row r="25" spans="2:13" ht="14.4" customHeight="1" x14ac:dyDescent="0.3">
      <c r="D25" t="s">
        <v>192</v>
      </c>
      <c r="F25" s="25" t="s">
        <v>0</v>
      </c>
      <c r="I25" s="51">
        <f ca="1">CAR!I28</f>
        <v>0.14859986939072986</v>
      </c>
      <c r="J25" s="51">
        <f ca="1">CAR!J28</f>
        <v>0.12</v>
      </c>
      <c r="K25" s="51">
        <f ca="1">CAR!K28</f>
        <v>0.12000000000000001</v>
      </c>
      <c r="L25" s="51">
        <f ca="1">CAR!L28</f>
        <v>0.11999999999999998</v>
      </c>
      <c r="M25" s="51">
        <f ca="1">CAR!M28</f>
        <v>0.12576967606417522</v>
      </c>
    </row>
    <row r="26" spans="2:13" ht="14.4" customHeight="1" x14ac:dyDescent="0.3">
      <c r="I26" s="48"/>
      <c r="J26" s="48"/>
      <c r="K26" s="48"/>
      <c r="L26" s="48"/>
      <c r="M26" s="48"/>
    </row>
    <row r="27" spans="2:13" ht="15" thickBot="1" x14ac:dyDescent="0.35"/>
    <row r="28" spans="2:13" s="9" customFormat="1" x14ac:dyDescent="0.3">
      <c r="B28" s="8" t="s">
        <v>14</v>
      </c>
      <c r="C28" s="8"/>
    </row>
    <row r="30" spans="2:13" ht="14.4" customHeight="1" x14ac:dyDescent="0.3">
      <c r="F30"/>
    </row>
    <row r="31" spans="2:13" ht="14.4" customHeight="1" x14ac:dyDescent="0.3">
      <c r="F31"/>
    </row>
    <row r="32" spans="2:13" ht="14.4" customHeight="1" x14ac:dyDescent="0.3">
      <c r="F32"/>
    </row>
    <row r="33" spans="6:6" ht="14.4" customHeight="1" x14ac:dyDescent="0.3">
      <c r="F33"/>
    </row>
    <row r="34" spans="6:6" ht="14.4" customHeight="1" x14ac:dyDescent="0.3">
      <c r="F34"/>
    </row>
    <row r="35" spans="6:6" ht="14.4" customHeight="1" x14ac:dyDescent="0.3">
      <c r="F35"/>
    </row>
    <row r="36" spans="6:6" ht="14.4" customHeight="1" x14ac:dyDescent="0.3">
      <c r="F36"/>
    </row>
    <row r="37" spans="6:6" ht="14.4" customHeight="1" x14ac:dyDescent="0.3">
      <c r="F37"/>
    </row>
    <row r="38" spans="6:6" ht="14.4" customHeight="1" x14ac:dyDescent="0.3">
      <c r="F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E312-D380-4617-BBA8-F0C42B298C51}">
  <sheetPr codeName="Sheet4"/>
  <dimension ref="A1:AI68"/>
  <sheetViews>
    <sheetView showGridLines="0" zoomScale="71" zoomScaleNormal="113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N21" sqref="N21"/>
    </sheetView>
  </sheetViews>
  <sheetFormatPr defaultColWidth="0" defaultRowHeight="14.4" customHeight="1" x14ac:dyDescent="0.3"/>
  <cols>
    <col min="1" max="1" width="1.5546875" customWidth="1"/>
    <col min="2" max="4" width="3.21875" customWidth="1"/>
    <col min="5" max="5" width="35.77734375" customWidth="1"/>
    <col min="6" max="6" width="9.88671875" style="25" bestFit="1" customWidth="1"/>
    <col min="7" max="7" width="8.88671875" customWidth="1"/>
    <col min="8" max="8" width="31.218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87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5.6" x14ac:dyDescent="0.3">
      <c r="B5" s="30" t="s">
        <v>77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7" spans="2:35" x14ac:dyDescent="0.3">
      <c r="C7" s="26" t="s">
        <v>22</v>
      </c>
    </row>
    <row r="8" spans="2:35" x14ac:dyDescent="0.3">
      <c r="D8" t="s">
        <v>19</v>
      </c>
      <c r="F8" s="25" t="s">
        <v>23</v>
      </c>
      <c r="I8" s="50">
        <f>Inputs!I21</f>
        <v>100</v>
      </c>
      <c r="J8" s="50">
        <f>Inputs!J21</f>
        <v>160</v>
      </c>
      <c r="K8" s="50">
        <f>Inputs!K21</f>
        <v>224</v>
      </c>
      <c r="L8" s="50">
        <f>Inputs!L21</f>
        <v>280</v>
      </c>
      <c r="M8" s="50">
        <f>Inputs!M21</f>
        <v>308</v>
      </c>
    </row>
    <row r="9" spans="2:35" x14ac:dyDescent="0.3">
      <c r="D9" t="s">
        <v>20</v>
      </c>
      <c r="F9" s="25" t="s">
        <v>23</v>
      </c>
      <c r="I9" s="50">
        <f>Inputs!I22</f>
        <v>150</v>
      </c>
      <c r="J9" s="50">
        <f>Inputs!J22</f>
        <v>225</v>
      </c>
      <c r="K9" s="50">
        <f>Inputs!K22</f>
        <v>315</v>
      </c>
      <c r="L9" s="50">
        <f>Inputs!L22</f>
        <v>425</v>
      </c>
      <c r="M9" s="50">
        <f>Inputs!M22</f>
        <v>468</v>
      </c>
    </row>
    <row r="10" spans="2:35" x14ac:dyDescent="0.3">
      <c r="D10" t="s">
        <v>21</v>
      </c>
      <c r="F10" s="25" t="s">
        <v>23</v>
      </c>
      <c r="I10" s="50">
        <f>Inputs!I23</f>
        <v>35</v>
      </c>
      <c r="J10" s="50">
        <f>Inputs!J23</f>
        <v>58</v>
      </c>
      <c r="K10" s="50">
        <f>Inputs!K23</f>
        <v>84</v>
      </c>
      <c r="L10" s="50">
        <f>Inputs!L23</f>
        <v>105</v>
      </c>
      <c r="M10" s="50">
        <f>Inputs!M23</f>
        <v>121</v>
      </c>
    </row>
    <row r="11" spans="2:35" x14ac:dyDescent="0.3">
      <c r="D11" t="s">
        <v>18</v>
      </c>
      <c r="F11" s="25" t="s">
        <v>23</v>
      </c>
      <c r="I11" s="50">
        <f>Inputs!I24</f>
        <v>60</v>
      </c>
      <c r="J11" s="50">
        <f>Inputs!J24</f>
        <v>78</v>
      </c>
      <c r="K11" s="50">
        <f>Inputs!K24</f>
        <v>90</v>
      </c>
      <c r="L11" s="50">
        <f>Inputs!L24</f>
        <v>101</v>
      </c>
      <c r="M11" s="50">
        <f>Inputs!M24</f>
        <v>111</v>
      </c>
    </row>
    <row r="13" spans="2:35" x14ac:dyDescent="0.3">
      <c r="C13" s="26" t="s">
        <v>25</v>
      </c>
    </row>
    <row r="14" spans="2:35" x14ac:dyDescent="0.3">
      <c r="D14" t="s">
        <v>19</v>
      </c>
      <c r="F14" s="25" t="s">
        <v>17</v>
      </c>
      <c r="I14" s="50">
        <f>Inputs!I39</f>
        <v>2500000</v>
      </c>
      <c r="J14" s="50">
        <f>Inputs!J39</f>
        <v>2875000</v>
      </c>
      <c r="K14" s="50">
        <f>Inputs!K39</f>
        <v>3220000.0000000005</v>
      </c>
      <c r="L14" s="50">
        <f>Inputs!L39</f>
        <v>3509800.0000000009</v>
      </c>
      <c r="M14" s="50">
        <f>Inputs!M39</f>
        <v>3755486.0000000014</v>
      </c>
    </row>
    <row r="15" spans="2:35" x14ac:dyDescent="0.3">
      <c r="D15" t="s">
        <v>20</v>
      </c>
      <c r="F15" s="25" t="s">
        <v>17</v>
      </c>
      <c r="I15" s="50">
        <f>Inputs!I40</f>
        <v>500000</v>
      </c>
      <c r="J15" s="50">
        <f>Inputs!J40</f>
        <v>575000</v>
      </c>
      <c r="K15" s="50">
        <f>Inputs!K40</f>
        <v>644000.00000000012</v>
      </c>
      <c r="L15" s="50">
        <f>Inputs!L40</f>
        <v>701960.00000000023</v>
      </c>
      <c r="M15" s="50">
        <f>Inputs!M40</f>
        <v>751097.2000000003</v>
      </c>
    </row>
    <row r="16" spans="2:35" x14ac:dyDescent="0.3">
      <c r="D16" t="s">
        <v>21</v>
      </c>
      <c r="F16" s="25" t="s">
        <v>17</v>
      </c>
      <c r="I16" s="50">
        <f>Inputs!I41</f>
        <v>60000000</v>
      </c>
      <c r="J16" s="50">
        <f>Inputs!J41</f>
        <v>69000000</v>
      </c>
      <c r="K16" s="50">
        <f>Inputs!K41</f>
        <v>77280000</v>
      </c>
      <c r="L16" s="50">
        <f>Inputs!L41</f>
        <v>84235200</v>
      </c>
      <c r="M16" s="50">
        <f>Inputs!M41</f>
        <v>90131664</v>
      </c>
    </row>
    <row r="17" spans="3:13" x14ac:dyDescent="0.3">
      <c r="D17" t="s">
        <v>18</v>
      </c>
      <c r="F17" s="25" t="s">
        <v>17</v>
      </c>
      <c r="I17" s="50">
        <f>Inputs!I42</f>
        <v>800000</v>
      </c>
      <c r="J17" s="50">
        <f>Inputs!J42</f>
        <v>919999.99999999988</v>
      </c>
      <c r="K17" s="50">
        <f>Inputs!K42</f>
        <v>1030400</v>
      </c>
      <c r="L17" s="50">
        <f>Inputs!L42</f>
        <v>1123136</v>
      </c>
      <c r="M17" s="50">
        <f>Inputs!M42</f>
        <v>1201755.52</v>
      </c>
    </row>
    <row r="19" spans="3:13" x14ac:dyDescent="0.3">
      <c r="C19" s="26" t="s">
        <v>78</v>
      </c>
    </row>
    <row r="20" spans="3:13" x14ac:dyDescent="0.3">
      <c r="D20" t="s">
        <v>19</v>
      </c>
      <c r="F20" s="25" t="s">
        <v>79</v>
      </c>
      <c r="I20" s="50">
        <f>I8*I14/10^6</f>
        <v>250</v>
      </c>
      <c r="J20" s="50">
        <f t="shared" ref="J20:M20" si="1">J8*J14/10^6</f>
        <v>460</v>
      </c>
      <c r="K20" s="50">
        <f t="shared" si="1"/>
        <v>721.28000000000009</v>
      </c>
      <c r="L20" s="50">
        <f t="shared" si="1"/>
        <v>982.74400000000026</v>
      </c>
      <c r="M20" s="50">
        <f t="shared" si="1"/>
        <v>1156.6896880000004</v>
      </c>
    </row>
    <row r="21" spans="3:13" x14ac:dyDescent="0.3">
      <c r="D21" t="s">
        <v>20</v>
      </c>
      <c r="F21" s="25" t="s">
        <v>79</v>
      </c>
      <c r="I21" s="50">
        <f>I9*I15/10^6</f>
        <v>75</v>
      </c>
      <c r="J21" s="50">
        <f t="shared" ref="J21:M21" si="2">J9*J15/10^6</f>
        <v>129.375</v>
      </c>
      <c r="K21" s="50">
        <f t="shared" si="2"/>
        <v>202.86000000000004</v>
      </c>
      <c r="L21" s="50">
        <f t="shared" si="2"/>
        <v>298.33300000000014</v>
      </c>
      <c r="M21" s="50">
        <f t="shared" si="2"/>
        <v>351.51348960000013</v>
      </c>
    </row>
    <row r="22" spans="3:13" x14ac:dyDescent="0.3">
      <c r="D22" t="s">
        <v>21</v>
      </c>
      <c r="F22" s="25" t="s">
        <v>79</v>
      </c>
      <c r="I22" s="50">
        <f>I10*I16/10^6</f>
        <v>2100</v>
      </c>
      <c r="J22" s="50">
        <f t="shared" ref="J22:M22" si="3">J10*J16/10^6</f>
        <v>4002</v>
      </c>
      <c r="K22" s="50">
        <f t="shared" si="3"/>
        <v>6491.52</v>
      </c>
      <c r="L22" s="50">
        <f t="shared" si="3"/>
        <v>8844.6959999999999</v>
      </c>
      <c r="M22" s="50">
        <f t="shared" si="3"/>
        <v>10905.931344000001</v>
      </c>
    </row>
    <row r="23" spans="3:13" x14ac:dyDescent="0.3">
      <c r="D23" t="s">
        <v>18</v>
      </c>
      <c r="F23" s="25" t="s">
        <v>79</v>
      </c>
      <c r="I23" s="50">
        <f>I11*I17/10^6</f>
        <v>48</v>
      </c>
      <c r="J23" s="50">
        <f t="shared" ref="J23:N23" si="4">J11*J17/10^6</f>
        <v>71.759999999999991</v>
      </c>
      <c r="K23" s="50">
        <f t="shared" si="4"/>
        <v>92.736000000000004</v>
      </c>
      <c r="L23" s="50">
        <f t="shared" si="4"/>
        <v>113.436736</v>
      </c>
      <c r="M23" s="50">
        <f t="shared" si="4"/>
        <v>133.39486271999999</v>
      </c>
    </row>
    <row r="25" spans="3:13" x14ac:dyDescent="0.3">
      <c r="C25" s="26" t="s">
        <v>26</v>
      </c>
    </row>
    <row r="26" spans="3:13" x14ac:dyDescent="0.3">
      <c r="D26" t="s">
        <v>19</v>
      </c>
      <c r="F26" s="25" t="s">
        <v>0</v>
      </c>
      <c r="I26" s="51">
        <f>Inputs!I33</f>
        <v>9.5000000000000001E-2</v>
      </c>
      <c r="J26" s="51">
        <f>Inputs!J33</f>
        <v>9.5000000000000001E-2</v>
      </c>
      <c r="K26" s="51">
        <f>Inputs!K33</f>
        <v>9.5000000000000001E-2</v>
      </c>
      <c r="L26" s="51">
        <f>Inputs!L33</f>
        <v>9.5000000000000001E-2</v>
      </c>
      <c r="M26" s="51">
        <f>Inputs!M33</f>
        <v>9.5000000000000001E-2</v>
      </c>
    </row>
    <row r="27" spans="3:13" x14ac:dyDescent="0.3">
      <c r="D27" t="s">
        <v>20</v>
      </c>
      <c r="F27" s="25" t="s">
        <v>0</v>
      </c>
      <c r="I27" s="51">
        <f>Inputs!I34</f>
        <v>0.14000000000000001</v>
      </c>
      <c r="J27" s="51">
        <f>Inputs!J34</f>
        <v>0.14000000000000001</v>
      </c>
      <c r="K27" s="51">
        <f>Inputs!K34</f>
        <v>0.14000000000000001</v>
      </c>
      <c r="L27" s="51">
        <f>Inputs!L34</f>
        <v>0.14000000000000001</v>
      </c>
      <c r="M27" s="51">
        <f>Inputs!M34</f>
        <v>0.14000000000000001</v>
      </c>
    </row>
    <row r="28" spans="3:13" x14ac:dyDescent="0.3">
      <c r="D28" t="s">
        <v>21</v>
      </c>
      <c r="F28" s="25" t="s">
        <v>0</v>
      </c>
      <c r="I28" s="51">
        <f>Inputs!I35</f>
        <v>0.125</v>
      </c>
      <c r="J28" s="51">
        <f>Inputs!J35</f>
        <v>0.125</v>
      </c>
      <c r="K28" s="51">
        <f>Inputs!K35</f>
        <v>0.125</v>
      </c>
      <c r="L28" s="51">
        <f>Inputs!L35</f>
        <v>0.125</v>
      </c>
      <c r="M28" s="51">
        <f>Inputs!M35</f>
        <v>0.125</v>
      </c>
    </row>
    <row r="29" spans="3:13" x14ac:dyDescent="0.3">
      <c r="D29" t="s">
        <v>18</v>
      </c>
      <c r="F29" s="25" t="s">
        <v>0</v>
      </c>
      <c r="I29" s="51">
        <f>Inputs!I36</f>
        <v>0.12</v>
      </c>
      <c r="J29" s="51">
        <f>Inputs!J36</f>
        <v>0.12</v>
      </c>
      <c r="K29" s="51">
        <f>Inputs!K36</f>
        <v>0.12</v>
      </c>
      <c r="L29" s="51">
        <f>Inputs!L36</f>
        <v>0.12</v>
      </c>
      <c r="M29" s="51">
        <f>Inputs!M36</f>
        <v>0.12</v>
      </c>
    </row>
    <row r="31" spans="3:13" x14ac:dyDescent="0.3">
      <c r="C31" s="26" t="s">
        <v>170</v>
      </c>
      <c r="G31" s="7"/>
    </row>
    <row r="32" spans="3:13" x14ac:dyDescent="0.3">
      <c r="D32" t="s">
        <v>167</v>
      </c>
      <c r="F32" s="25" t="s">
        <v>0</v>
      </c>
      <c r="I32" s="51">
        <f>Inputs!I92</f>
        <v>0.1</v>
      </c>
      <c r="J32" s="51">
        <f>Inputs!J92</f>
        <v>0.1</v>
      </c>
      <c r="K32" s="51">
        <f>Inputs!K92</f>
        <v>0.1</v>
      </c>
      <c r="L32" s="51">
        <f>Inputs!L92</f>
        <v>0.1</v>
      </c>
      <c r="M32" s="51">
        <f>Inputs!M92</f>
        <v>0.1</v>
      </c>
    </row>
    <row r="33" spans="2:13" x14ac:dyDescent="0.3">
      <c r="D33" t="s">
        <v>75</v>
      </c>
      <c r="F33" s="25" t="s">
        <v>0</v>
      </c>
      <c r="I33" s="51">
        <f>Inputs!I93</f>
        <v>2E-3</v>
      </c>
      <c r="J33" s="51">
        <f>Inputs!J93</f>
        <v>2E-3</v>
      </c>
      <c r="K33" s="51">
        <f>Inputs!K93</f>
        <v>2E-3</v>
      </c>
      <c r="L33" s="51">
        <f>Inputs!L93</f>
        <v>2E-3</v>
      </c>
      <c r="M33" s="51">
        <f>Inputs!M93</f>
        <v>2E-3</v>
      </c>
    </row>
    <row r="34" spans="2:13" x14ac:dyDescent="0.3">
      <c r="D34" t="s">
        <v>180</v>
      </c>
      <c r="F34" s="25" t="s">
        <v>79</v>
      </c>
      <c r="I34" s="50">
        <f ca="1">'Interest Exp'!I20+'Interest Exp'!I30</f>
        <v>2460.6314233770731</v>
      </c>
      <c r="J34" s="50">
        <f ca="1">'Interest Exp'!J20+'Interest Exp'!J30</f>
        <v>4648.048302815052</v>
      </c>
      <c r="K34" s="50">
        <f ca="1">'Interest Exp'!K20+'Interest Exp'!K30</f>
        <v>7427.1185338915893</v>
      </c>
      <c r="L34" s="50">
        <f ca="1">'Interest Exp'!L20+'Interest Exp'!L30</f>
        <v>10045.360097605764</v>
      </c>
      <c r="M34" s="50">
        <f ca="1">'Interest Exp'!M20+'Interest Exp'!M30</f>
        <v>12285.665915820407</v>
      </c>
    </row>
    <row r="35" spans="2:13" x14ac:dyDescent="0.3">
      <c r="D35" t="s">
        <v>166</v>
      </c>
      <c r="F35" s="25" t="s">
        <v>79</v>
      </c>
      <c r="I35" s="50">
        <f t="shared" ref="I35:M35" ca="1" si="5">I34*I32</f>
        <v>246.06314233770732</v>
      </c>
      <c r="J35" s="50">
        <f t="shared" ca="1" si="5"/>
        <v>464.80483028150525</v>
      </c>
      <c r="K35" s="50">
        <f t="shared" ca="1" si="5"/>
        <v>742.71185338915893</v>
      </c>
      <c r="L35" s="50">
        <f t="shared" ca="1" si="5"/>
        <v>1004.5360097605765</v>
      </c>
      <c r="M35" s="50">
        <f t="shared" ca="1" si="5"/>
        <v>1228.5665915820409</v>
      </c>
    </row>
    <row r="36" spans="2:13" x14ac:dyDescent="0.3">
      <c r="D36" t="s">
        <v>171</v>
      </c>
      <c r="F36" s="25" t="s">
        <v>79</v>
      </c>
      <c r="I36" s="61">
        <f ca="1">(H35+I35)/2*I33</f>
        <v>0.24606314233770732</v>
      </c>
      <c r="J36" s="61">
        <f t="shared" ref="J36:M36" ca="1" si="6">(I35+J35)/2*J33</f>
        <v>0.71086797261921253</v>
      </c>
      <c r="K36" s="61">
        <f t="shared" ca="1" si="6"/>
        <v>1.2075166836706641</v>
      </c>
      <c r="L36" s="61">
        <f t="shared" ca="1" si="6"/>
        <v>1.7472478631497355</v>
      </c>
      <c r="M36" s="61">
        <f t="shared" ca="1" si="6"/>
        <v>2.2331026013426172</v>
      </c>
    </row>
    <row r="37" spans="2:13" x14ac:dyDescent="0.3">
      <c r="C37" s="26"/>
    </row>
    <row r="38" spans="2:13" x14ac:dyDescent="0.3">
      <c r="C38" s="26" t="s">
        <v>75</v>
      </c>
    </row>
    <row r="39" spans="2:13" x14ac:dyDescent="0.3">
      <c r="D39" t="s">
        <v>19</v>
      </c>
      <c r="F39" s="25" t="s">
        <v>79</v>
      </c>
      <c r="I39" s="50">
        <f>(H20+I20)/2*I26</f>
        <v>11.875</v>
      </c>
      <c r="J39" s="50">
        <f t="shared" ref="J39:M39" si="7">(I20+J20)/2*J26</f>
        <v>33.725000000000001</v>
      </c>
      <c r="K39" s="50">
        <f t="shared" si="7"/>
        <v>56.110800000000012</v>
      </c>
      <c r="L39" s="50">
        <f t="shared" si="7"/>
        <v>80.941140000000019</v>
      </c>
      <c r="M39" s="50">
        <f t="shared" si="7"/>
        <v>101.62310018000002</v>
      </c>
    </row>
    <row r="40" spans="2:13" x14ac:dyDescent="0.3">
      <c r="D40" t="s">
        <v>20</v>
      </c>
      <c r="F40" s="25" t="s">
        <v>79</v>
      </c>
      <c r="I40" s="50">
        <f t="shared" ref="I40:M40" si="8">(H21+I21)/2*I27</f>
        <v>5.2500000000000009</v>
      </c>
      <c r="J40" s="50">
        <f t="shared" si="8"/>
        <v>14.306250000000002</v>
      </c>
      <c r="K40" s="50">
        <f t="shared" si="8"/>
        <v>23.256450000000005</v>
      </c>
      <c r="L40" s="50">
        <f t="shared" si="8"/>
        <v>35.083510000000018</v>
      </c>
      <c r="M40" s="50">
        <f t="shared" si="8"/>
        <v>45.489254272000025</v>
      </c>
    </row>
    <row r="41" spans="2:13" x14ac:dyDescent="0.3">
      <c r="D41" t="s">
        <v>21</v>
      </c>
      <c r="F41" s="25" t="s">
        <v>79</v>
      </c>
      <c r="I41" s="50">
        <f t="shared" ref="I41:M41" si="9">(H22+I22)/2*I28</f>
        <v>131.25</v>
      </c>
      <c r="J41" s="50">
        <f t="shared" si="9"/>
        <v>381.375</v>
      </c>
      <c r="K41" s="50">
        <f t="shared" si="9"/>
        <v>655.84500000000003</v>
      </c>
      <c r="L41" s="50">
        <f t="shared" si="9"/>
        <v>958.51350000000002</v>
      </c>
      <c r="M41" s="50">
        <f t="shared" si="9"/>
        <v>1234.414209</v>
      </c>
    </row>
    <row r="42" spans="2:13" x14ac:dyDescent="0.3">
      <c r="D42" t="s">
        <v>18</v>
      </c>
      <c r="F42" s="25" t="s">
        <v>79</v>
      </c>
      <c r="I42" s="50">
        <f t="shared" ref="I42:M42" si="10">(H23+I23)/2*I29</f>
        <v>2.88</v>
      </c>
      <c r="J42" s="50">
        <f t="shared" si="10"/>
        <v>7.1855999999999991</v>
      </c>
      <c r="K42" s="50">
        <f t="shared" si="10"/>
        <v>9.8697599999999976</v>
      </c>
      <c r="L42" s="50">
        <f t="shared" si="10"/>
        <v>12.370364159999999</v>
      </c>
      <c r="M42" s="50">
        <f t="shared" si="10"/>
        <v>14.809895923199999</v>
      </c>
    </row>
    <row r="43" spans="2:13" s="11" customFormat="1" x14ac:dyDescent="0.3">
      <c r="D43" t="s">
        <v>166</v>
      </c>
      <c r="E43"/>
      <c r="F43" s="25" t="s">
        <v>79</v>
      </c>
      <c r="H43"/>
      <c r="I43" s="50">
        <f ca="1">I36</f>
        <v>0.24606314233770732</v>
      </c>
      <c r="J43" s="50">
        <f t="shared" ref="J43:M43" ca="1" si="11">J36</f>
        <v>0.71086797261921253</v>
      </c>
      <c r="K43" s="50">
        <f t="shared" ca="1" si="11"/>
        <v>1.2075166836706641</v>
      </c>
      <c r="L43" s="50">
        <f t="shared" ca="1" si="11"/>
        <v>1.7472478631497355</v>
      </c>
      <c r="M43" s="50">
        <f t="shared" ca="1" si="11"/>
        <v>2.2331026013426172</v>
      </c>
    </row>
    <row r="44" spans="2:13" x14ac:dyDescent="0.3">
      <c r="D44" t="str">
        <f>"Total "&amp;C38</f>
        <v>Total Interest income</v>
      </c>
      <c r="F44" s="25" t="s">
        <v>79</v>
      </c>
      <c r="I44" s="50">
        <f ca="1">SUM(I39:I43)</f>
        <v>151.5010631423377</v>
      </c>
      <c r="J44" s="50">
        <f t="shared" ref="J44:M44" ca="1" si="12">SUM(J39:J43)</f>
        <v>437.30271797261923</v>
      </c>
      <c r="K44" s="50">
        <f t="shared" ca="1" si="12"/>
        <v>746.28952668367072</v>
      </c>
      <c r="L44" s="50">
        <f t="shared" ca="1" si="12"/>
        <v>1088.6557620231499</v>
      </c>
      <c r="M44" s="50">
        <f t="shared" ca="1" si="12"/>
        <v>1398.5695619765427</v>
      </c>
    </row>
    <row r="46" spans="2:13" ht="15.6" x14ac:dyDescent="0.3">
      <c r="B46" s="30" t="s">
        <v>76</v>
      </c>
      <c r="C46" s="31"/>
      <c r="D46" s="31"/>
      <c r="E46" s="31"/>
      <c r="F46" s="32"/>
      <c r="G46" s="31"/>
      <c r="H46" s="31"/>
      <c r="I46" s="31"/>
      <c r="J46" s="31"/>
      <c r="K46" s="31"/>
      <c r="L46" s="31"/>
      <c r="M46" s="33"/>
    </row>
    <row r="48" spans="2:13" x14ac:dyDescent="0.3">
      <c r="C48" s="26" t="s">
        <v>27</v>
      </c>
    </row>
    <row r="49" spans="3:13" x14ac:dyDescent="0.3">
      <c r="D49" t="s">
        <v>28</v>
      </c>
      <c r="F49" s="25" t="s">
        <v>23</v>
      </c>
      <c r="I49" s="50">
        <f>Inputs!I59</f>
        <v>20</v>
      </c>
      <c r="J49" s="50">
        <f>Inputs!J59</f>
        <v>28</v>
      </c>
      <c r="K49" s="50">
        <f>Inputs!K59</f>
        <v>36</v>
      </c>
      <c r="L49" s="50">
        <f>Inputs!L59</f>
        <v>45</v>
      </c>
      <c r="M49" s="50">
        <f>Inputs!M59</f>
        <v>54</v>
      </c>
    </row>
    <row r="50" spans="3:13" x14ac:dyDescent="0.3">
      <c r="D50" t="s">
        <v>29</v>
      </c>
      <c r="F50" s="25" t="s">
        <v>79</v>
      </c>
      <c r="I50" s="50">
        <f>Inputs!I61/10^6</f>
        <v>520</v>
      </c>
      <c r="J50" s="50">
        <f>Inputs!J61/10^6</f>
        <v>546</v>
      </c>
      <c r="K50" s="50">
        <f>Inputs!K61/10^6</f>
        <v>573.29999999999995</v>
      </c>
      <c r="L50" s="50">
        <f>Inputs!L61/10^6</f>
        <v>601.96500000000003</v>
      </c>
      <c r="M50" s="50">
        <f>Inputs!M61/10^6</f>
        <v>632.06325000000004</v>
      </c>
    </row>
    <row r="51" spans="3:13" x14ac:dyDescent="0.3">
      <c r="D51" t="s">
        <v>30</v>
      </c>
      <c r="F51" s="25" t="s">
        <v>0</v>
      </c>
      <c r="I51" s="51">
        <f>Inputs!I63</f>
        <v>0.01</v>
      </c>
      <c r="J51" s="51">
        <f>Inputs!J63</f>
        <v>0.01</v>
      </c>
      <c r="K51" s="51">
        <f>Inputs!K63</f>
        <v>0.01</v>
      </c>
      <c r="L51" s="51">
        <f>Inputs!L63</f>
        <v>0.01</v>
      </c>
      <c r="M51" s="51">
        <f>Inputs!M63</f>
        <v>0.01</v>
      </c>
    </row>
    <row r="52" spans="3:13" x14ac:dyDescent="0.3">
      <c r="D52" t="s">
        <v>80</v>
      </c>
      <c r="F52" s="25" t="s">
        <v>79</v>
      </c>
      <c r="I52" s="50">
        <f t="shared" ref="I52:M52" si="13">I49*I50*I51</f>
        <v>104</v>
      </c>
      <c r="J52" s="50">
        <f t="shared" si="13"/>
        <v>152.88</v>
      </c>
      <c r="K52" s="50">
        <f t="shared" si="13"/>
        <v>206.38800000000001</v>
      </c>
      <c r="L52" s="50">
        <f t="shared" si="13"/>
        <v>270.88425000000001</v>
      </c>
      <c r="M52" s="50">
        <f t="shared" si="13"/>
        <v>341.31415500000003</v>
      </c>
    </row>
    <row r="54" spans="3:13" x14ac:dyDescent="0.3">
      <c r="I54" s="29"/>
    </row>
    <row r="55" spans="3:13" x14ac:dyDescent="0.3">
      <c r="C55" s="26" t="s">
        <v>36</v>
      </c>
    </row>
    <row r="56" spans="3:13" x14ac:dyDescent="0.3">
      <c r="D56" t="s">
        <v>34</v>
      </c>
      <c r="F56" s="25" t="s">
        <v>23</v>
      </c>
      <c r="I56" s="50">
        <f>Inputs!I66</f>
        <v>250</v>
      </c>
      <c r="J56" s="50">
        <f>Inputs!J66</f>
        <v>313</v>
      </c>
      <c r="K56" s="50">
        <f>Inputs!K66</f>
        <v>376</v>
      </c>
      <c r="L56" s="50">
        <f>Inputs!L66</f>
        <v>432</v>
      </c>
      <c r="M56" s="50">
        <f>Inputs!M66</f>
        <v>475</v>
      </c>
    </row>
    <row r="57" spans="3:13" x14ac:dyDescent="0.3">
      <c r="D57" t="s">
        <v>37</v>
      </c>
      <c r="F57" s="25" t="s">
        <v>79</v>
      </c>
      <c r="I57" s="50">
        <f>Inputs!I68/10^6</f>
        <v>25</v>
      </c>
      <c r="J57" s="50">
        <f>Inputs!J68/10^6</f>
        <v>26.25</v>
      </c>
      <c r="K57" s="50">
        <f>Inputs!K68/10^6</f>
        <v>27.5625</v>
      </c>
      <c r="L57" s="50">
        <f>Inputs!L68/10^6</f>
        <v>28.940625000000001</v>
      </c>
      <c r="M57" s="50">
        <f>Inputs!M68/10^6</f>
        <v>30.387656249999999</v>
      </c>
    </row>
    <row r="58" spans="3:13" x14ac:dyDescent="0.3">
      <c r="D58" t="s">
        <v>31</v>
      </c>
      <c r="F58" s="25" t="s">
        <v>0</v>
      </c>
      <c r="I58" s="51">
        <f>Inputs!I70</f>
        <v>2E-3</v>
      </c>
      <c r="J58" s="51">
        <f>Inputs!J70</f>
        <v>2E-3</v>
      </c>
      <c r="K58" s="51">
        <f>Inputs!K70</f>
        <v>2E-3</v>
      </c>
      <c r="L58" s="51">
        <f>Inputs!L70</f>
        <v>2E-3</v>
      </c>
      <c r="M58" s="51">
        <f>Inputs!M70</f>
        <v>2E-3</v>
      </c>
    </row>
    <row r="59" spans="3:13" x14ac:dyDescent="0.3">
      <c r="D59" t="s">
        <v>81</v>
      </c>
      <c r="F59" s="25" t="s">
        <v>79</v>
      </c>
      <c r="I59" s="50">
        <f>I56*I57*I58</f>
        <v>12.5</v>
      </c>
      <c r="J59" s="50">
        <f t="shared" ref="J59:M59" si="14">J56*J57*J58</f>
        <v>16.432500000000001</v>
      </c>
      <c r="K59" s="50">
        <f t="shared" si="14"/>
        <v>20.727</v>
      </c>
      <c r="L59" s="50">
        <f t="shared" si="14"/>
        <v>25.0047</v>
      </c>
      <c r="M59" s="50">
        <f t="shared" si="14"/>
        <v>28.868273437500001</v>
      </c>
    </row>
    <row r="61" spans="3:13" x14ac:dyDescent="0.3">
      <c r="C61" s="26" t="s">
        <v>85</v>
      </c>
    </row>
    <row r="62" spans="3:13" x14ac:dyDescent="0.3">
      <c r="D62" t="str">
        <f>D52</f>
        <v>Fees from Investment banking division</v>
      </c>
      <c r="F62" s="25" t="s">
        <v>79</v>
      </c>
      <c r="I62" s="50">
        <f>I52</f>
        <v>104</v>
      </c>
      <c r="J62" s="50">
        <f t="shared" ref="J62:M62" si="15">J52</f>
        <v>152.88</v>
      </c>
      <c r="K62" s="50">
        <f t="shared" si="15"/>
        <v>206.38800000000001</v>
      </c>
      <c r="L62" s="50">
        <f t="shared" si="15"/>
        <v>270.88425000000001</v>
      </c>
      <c r="M62" s="50">
        <f t="shared" si="15"/>
        <v>341.31415500000003</v>
      </c>
    </row>
    <row r="63" spans="3:13" x14ac:dyDescent="0.3">
      <c r="D63" t="str">
        <f>D59</f>
        <v>Other fees and commissions</v>
      </c>
      <c r="F63" s="25" t="s">
        <v>79</v>
      </c>
      <c r="I63" s="50">
        <f>I59</f>
        <v>12.5</v>
      </c>
      <c r="J63" s="50">
        <f t="shared" ref="J63:M63" si="16">J59</f>
        <v>16.432500000000001</v>
      </c>
      <c r="K63" s="50">
        <f t="shared" si="16"/>
        <v>20.727</v>
      </c>
      <c r="L63" s="50">
        <f t="shared" si="16"/>
        <v>25.0047</v>
      </c>
      <c r="M63" s="50">
        <f t="shared" si="16"/>
        <v>28.868273437500001</v>
      </c>
    </row>
    <row r="64" spans="3:13" x14ac:dyDescent="0.3">
      <c r="D64" t="str">
        <f>"Total "&amp;C61</f>
        <v>Total Non-Interest income</v>
      </c>
      <c r="F64" s="25" t="s">
        <v>79</v>
      </c>
      <c r="I64" s="50">
        <f>SUM(I62:I63)</f>
        <v>116.5</v>
      </c>
      <c r="J64" s="50">
        <f t="shared" ref="J64:M64" si="17">SUM(J62:J63)</f>
        <v>169.3125</v>
      </c>
      <c r="K64" s="50">
        <f t="shared" si="17"/>
        <v>227.11500000000001</v>
      </c>
      <c r="L64" s="50">
        <f t="shared" si="17"/>
        <v>295.88895000000002</v>
      </c>
      <c r="M64" s="50">
        <f t="shared" si="17"/>
        <v>370.18242843750005</v>
      </c>
    </row>
    <row r="67" spans="2:3" ht="15" thickBot="1" x14ac:dyDescent="0.35"/>
    <row r="68" spans="2:3" s="9" customFormat="1" x14ac:dyDescent="0.3">
      <c r="B68" s="8" t="s">
        <v>14</v>
      </c>
      <c r="C6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7B18-39FB-4491-BBAA-E0273685E106}">
  <sheetPr codeName="Sheet5"/>
  <dimension ref="A1:AI42"/>
  <sheetViews>
    <sheetView showGridLines="0" zoomScale="83" zoomScaleNormal="11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H26" sqref="H26"/>
    </sheetView>
  </sheetViews>
  <sheetFormatPr defaultColWidth="0" defaultRowHeight="14.4" customHeight="1" x14ac:dyDescent="0.3"/>
  <cols>
    <col min="1" max="4" width="3.21875" customWidth="1"/>
    <col min="5" max="5" width="35.5546875" customWidth="1"/>
    <col min="6" max="6" width="7.44140625" style="25" customWidth="1"/>
    <col min="7" max="7" width="8.88671875" customWidth="1"/>
    <col min="8" max="8" width="16.218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82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5.6" x14ac:dyDescent="0.3">
      <c r="B5" s="30" t="s">
        <v>97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6" spans="2:35" ht="14.4" customHeight="1" x14ac:dyDescent="0.3">
      <c r="J6" s="6"/>
    </row>
    <row r="7" spans="2:35" x14ac:dyDescent="0.3">
      <c r="C7" s="26" t="s">
        <v>43</v>
      </c>
    </row>
    <row r="8" spans="2:35" x14ac:dyDescent="0.3">
      <c r="D8" t="s">
        <v>44</v>
      </c>
      <c r="F8" s="25" t="s">
        <v>79</v>
      </c>
      <c r="I8" s="50">
        <f>Inputs!I75/10^6</f>
        <v>325</v>
      </c>
      <c r="J8" s="50">
        <f>Inputs!J75/10^6</f>
        <v>455</v>
      </c>
      <c r="K8" s="50">
        <f>Inputs!K75/10^6</f>
        <v>614.25</v>
      </c>
      <c r="L8" s="50">
        <f>Inputs!L75/10^6</f>
        <v>767.8125</v>
      </c>
      <c r="M8" s="50">
        <f>Inputs!M75/10^6</f>
        <v>882.98437499999989</v>
      </c>
    </row>
    <row r="9" spans="2:35" x14ac:dyDescent="0.3">
      <c r="D9" t="s">
        <v>26</v>
      </c>
      <c r="F9" s="25" t="s">
        <v>0</v>
      </c>
      <c r="I9" s="51">
        <f>Inputs!I77</f>
        <v>3.5000000000000003E-2</v>
      </c>
      <c r="J9" s="51">
        <f>Inputs!J77</f>
        <v>3.5000000000000003E-2</v>
      </c>
      <c r="K9" s="51">
        <f>Inputs!K77</f>
        <v>3.5000000000000003E-2</v>
      </c>
      <c r="L9" s="51">
        <f>Inputs!L77</f>
        <v>3.5000000000000003E-2</v>
      </c>
      <c r="M9" s="51">
        <f>Inputs!M77</f>
        <v>3.5000000000000003E-2</v>
      </c>
    </row>
    <row r="10" spans="2:35" x14ac:dyDescent="0.3">
      <c r="D10" s="34" t="str">
        <f>"Interest expense on "&amp;C7</f>
        <v>Interest expense on Savings account</v>
      </c>
      <c r="F10" s="25" t="s">
        <v>79</v>
      </c>
      <c r="I10" s="50">
        <f>(H8+I8)/2*I9</f>
        <v>5.6875000000000009</v>
      </c>
      <c r="J10" s="50">
        <f t="shared" ref="J10:M10" si="1">(I8+J8)/2*J9</f>
        <v>13.650000000000002</v>
      </c>
      <c r="K10" s="50">
        <f t="shared" si="1"/>
        <v>18.711875000000003</v>
      </c>
      <c r="L10" s="50">
        <f t="shared" si="1"/>
        <v>24.186093750000001</v>
      </c>
      <c r="M10" s="50">
        <f t="shared" si="1"/>
        <v>28.888945312500002</v>
      </c>
    </row>
    <row r="12" spans="2:35" ht="14.4" customHeight="1" x14ac:dyDescent="0.3">
      <c r="C12" s="26" t="s">
        <v>46</v>
      </c>
    </row>
    <row r="13" spans="2:35" x14ac:dyDescent="0.3">
      <c r="D13" t="s">
        <v>44</v>
      </c>
      <c r="F13" s="25" t="s">
        <v>79</v>
      </c>
      <c r="I13" s="50">
        <f>Inputs!I80/10^6</f>
        <v>175</v>
      </c>
      <c r="J13" s="50">
        <f>Inputs!J80/10^6</f>
        <v>244.99999999999997</v>
      </c>
      <c r="K13" s="50">
        <f>Inputs!K80/10^6</f>
        <v>330.75</v>
      </c>
      <c r="L13" s="50">
        <f>Inputs!L80/10^6</f>
        <v>413.4375</v>
      </c>
      <c r="M13" s="50">
        <f>Inputs!M80/10^6</f>
        <v>475.45312499999994</v>
      </c>
    </row>
    <row r="14" spans="2:35" x14ac:dyDescent="0.3">
      <c r="D14" t="s">
        <v>26</v>
      </c>
      <c r="F14" s="25" t="s">
        <v>0</v>
      </c>
      <c r="I14" s="51">
        <f>Inputs!I82</f>
        <v>0</v>
      </c>
      <c r="J14" s="51">
        <f>Inputs!J82</f>
        <v>0</v>
      </c>
      <c r="K14" s="51">
        <f>Inputs!K82</f>
        <v>0</v>
      </c>
      <c r="L14" s="51">
        <f>Inputs!L82</f>
        <v>0</v>
      </c>
      <c r="M14" s="51">
        <f>Inputs!M82</f>
        <v>0</v>
      </c>
    </row>
    <row r="15" spans="2:35" x14ac:dyDescent="0.3">
      <c r="D15" s="34" t="str">
        <f>"Interest expense on "&amp;C12</f>
        <v>Interest expense on Current account</v>
      </c>
      <c r="F15" s="25" t="s">
        <v>79</v>
      </c>
      <c r="I15" s="50">
        <f>(H13+I13)/2*I14</f>
        <v>0</v>
      </c>
      <c r="J15" s="50">
        <f t="shared" ref="J15" si="2">(I13+J13)/2*J14</f>
        <v>0</v>
      </c>
      <c r="K15" s="50">
        <f t="shared" ref="K15" si="3">(J13+K13)/2*K14</f>
        <v>0</v>
      </c>
      <c r="L15" s="50">
        <f t="shared" ref="L15" si="4">(K13+L13)/2*L14</f>
        <v>0</v>
      </c>
      <c r="M15" s="50">
        <f t="shared" ref="M15" si="5">(L13+M13)/2*M14</f>
        <v>0</v>
      </c>
    </row>
    <row r="17" spans="3:13" x14ac:dyDescent="0.3">
      <c r="C17" s="26" t="s">
        <v>47</v>
      </c>
    </row>
    <row r="18" spans="3:13" ht="14.4" customHeight="1" x14ac:dyDescent="0.3">
      <c r="D18" t="s">
        <v>196</v>
      </c>
      <c r="F18" s="25" t="s">
        <v>0</v>
      </c>
      <c r="I18" s="51">
        <f>Inputs!I85</f>
        <v>0.35</v>
      </c>
      <c r="J18" s="51">
        <f>Inputs!J85</f>
        <v>0.35</v>
      </c>
      <c r="K18" s="51">
        <f>Inputs!K85</f>
        <v>0.38</v>
      </c>
      <c r="L18" s="51">
        <f>Inputs!L85</f>
        <v>0.42</v>
      </c>
      <c r="M18" s="51">
        <f>Inputs!M85</f>
        <v>0.48</v>
      </c>
    </row>
    <row r="19" spans="3:13" x14ac:dyDescent="0.3">
      <c r="D19" t="s">
        <v>26</v>
      </c>
      <c r="F19" s="25" t="s">
        <v>0</v>
      </c>
      <c r="I19" s="51">
        <f>Inputs!I86</f>
        <v>7.4999999999999997E-2</v>
      </c>
      <c r="J19" s="51">
        <f>Inputs!J86</f>
        <v>7.4999999999999997E-2</v>
      </c>
      <c r="K19" s="51">
        <f>Inputs!K86</f>
        <v>7.4999999999999997E-2</v>
      </c>
      <c r="L19" s="51">
        <f>Inputs!L86</f>
        <v>7.4999999999999997E-2</v>
      </c>
      <c r="M19" s="51">
        <f>Inputs!M86</f>
        <v>7.4999999999999997E-2</v>
      </c>
    </row>
    <row r="20" spans="3:13" x14ac:dyDescent="0.3">
      <c r="D20" t="s">
        <v>83</v>
      </c>
      <c r="F20" s="25" t="s">
        <v>79</v>
      </c>
      <c r="I20" s="50">
        <f>(I8+I13)/I18</f>
        <v>1428.5714285714287</v>
      </c>
      <c r="J20" s="50">
        <f t="shared" ref="J20:M20" si="6">(J8+J13)/J18</f>
        <v>2000.0000000000002</v>
      </c>
      <c r="K20" s="50">
        <f t="shared" si="6"/>
        <v>2486.8421052631579</v>
      </c>
      <c r="L20" s="50">
        <f t="shared" si="6"/>
        <v>2812.5</v>
      </c>
      <c r="M20" s="50">
        <f t="shared" si="6"/>
        <v>2830.0781249999995</v>
      </c>
    </row>
    <row r="21" spans="3:13" x14ac:dyDescent="0.3">
      <c r="D21" t="s">
        <v>84</v>
      </c>
      <c r="F21" s="25" t="s">
        <v>79</v>
      </c>
      <c r="I21" s="50">
        <f>I20*(1-I18)</f>
        <v>928.57142857142867</v>
      </c>
      <c r="J21" s="50">
        <f t="shared" ref="J21:M21" si="7">J20*(1-J18)</f>
        <v>1300.0000000000002</v>
      </c>
      <c r="K21" s="50">
        <f t="shared" si="7"/>
        <v>1541.8421052631579</v>
      </c>
      <c r="L21" s="50">
        <f t="shared" si="7"/>
        <v>1631.2500000000002</v>
      </c>
      <c r="M21" s="50">
        <f t="shared" si="7"/>
        <v>1471.6406249999998</v>
      </c>
    </row>
    <row r="22" spans="3:13" x14ac:dyDescent="0.3">
      <c r="D22" s="34" t="str">
        <f>"Interest expense on "&amp;C17</f>
        <v>Interest expense on Term deposits</v>
      </c>
      <c r="F22" s="25" t="s">
        <v>79</v>
      </c>
      <c r="I22" s="50">
        <f>(H21+I21)/2*I19</f>
        <v>34.821428571428577</v>
      </c>
      <c r="J22" s="50">
        <f t="shared" ref="J22:M22" si="8">(I21+J21)/2*J19</f>
        <v>83.571428571428584</v>
      </c>
      <c r="K22" s="50">
        <f t="shared" si="8"/>
        <v>106.56907894736844</v>
      </c>
      <c r="L22" s="50">
        <f t="shared" si="8"/>
        <v>118.99095394736844</v>
      </c>
      <c r="M22" s="50">
        <f t="shared" si="8"/>
        <v>116.3583984375</v>
      </c>
    </row>
    <row r="23" spans="3:13" x14ac:dyDescent="0.3">
      <c r="K23" s="29"/>
    </row>
    <row r="24" spans="3:13" x14ac:dyDescent="0.3">
      <c r="C24" s="26" t="s">
        <v>49</v>
      </c>
      <c r="G24" s="36"/>
      <c r="K24" s="29"/>
    </row>
    <row r="25" spans="3:13" x14ac:dyDescent="0.3">
      <c r="D25" t="s">
        <v>176</v>
      </c>
      <c r="F25" s="25" t="s">
        <v>79</v>
      </c>
      <c r="I25" s="50">
        <f ca="1">CFS!I20</f>
        <v>-1187.0599948056445</v>
      </c>
      <c r="J25" s="50">
        <f ca="1">CFS!J20</f>
        <v>-1653.8281674554605</v>
      </c>
      <c r="K25" s="50">
        <f ca="1">CFS!K20</f>
        <v>-2363.2696468177733</v>
      </c>
      <c r="L25" s="50">
        <f ca="1">CFS!L20</f>
        <v>-2276.2041229062906</v>
      </c>
      <c r="M25" s="50">
        <f ca="1">CFS!M20</f>
        <v>-2032.7276932146438</v>
      </c>
    </row>
    <row r="26" spans="3:13" x14ac:dyDescent="0.3">
      <c r="D26" t="s">
        <v>177</v>
      </c>
      <c r="F26" s="25" t="s">
        <v>79</v>
      </c>
      <c r="I26" s="50">
        <f>CFS!I25</f>
        <v>-295</v>
      </c>
      <c r="J26" s="50">
        <f>CFS!J25</f>
        <v>-80</v>
      </c>
      <c r="K26" s="50">
        <f>CFS!K25</f>
        <v>-105</v>
      </c>
      <c r="L26" s="50">
        <f>CFS!L25</f>
        <v>-135</v>
      </c>
      <c r="M26" s="50">
        <f>CFS!M25</f>
        <v>-190</v>
      </c>
    </row>
    <row r="27" spans="3:13" x14ac:dyDescent="0.3">
      <c r="D27" t="s">
        <v>161</v>
      </c>
      <c r="F27" s="25" t="s">
        <v>79</v>
      </c>
      <c r="I27" s="50">
        <f ca="1">SUM(CFS!I29:I30)</f>
        <v>450</v>
      </c>
      <c r="J27" s="50">
        <f ca="1">SUM(CFS!J29:J30)</f>
        <v>117.83985944605286</v>
      </c>
      <c r="K27" s="50">
        <f ca="1">SUM(CFS!K29:K30)</f>
        <v>176.04152100439308</v>
      </c>
      <c r="L27" s="50">
        <f ca="1">SUM(CFS!L29:L30)</f>
        <v>118.62045392895971</v>
      </c>
      <c r="M27" s="50">
        <f ca="1">SUM(CFS!M29:M30)</f>
        <v>0</v>
      </c>
    </row>
    <row r="28" spans="3:13" s="6" customFormat="1" x14ac:dyDescent="0.3">
      <c r="D28" s="6" t="s">
        <v>178</v>
      </c>
      <c r="F28" s="41" t="s">
        <v>79</v>
      </c>
      <c r="H28"/>
      <c r="I28" s="57">
        <f t="shared" ref="I28:M28" ca="1" si="9">SUM(I25:I27)</f>
        <v>-1032.0599948056445</v>
      </c>
      <c r="J28" s="57">
        <f t="shared" ca="1" si="9"/>
        <v>-1615.9883080094078</v>
      </c>
      <c r="K28" s="57">
        <f t="shared" ca="1" si="9"/>
        <v>-2292.2281258133803</v>
      </c>
      <c r="L28" s="57">
        <f t="shared" ca="1" si="9"/>
        <v>-2292.5836689773309</v>
      </c>
      <c r="M28" s="57">
        <f t="shared" ca="1" si="9"/>
        <v>-2222.7276932146438</v>
      </c>
    </row>
    <row r="29" spans="3:13" x14ac:dyDescent="0.3">
      <c r="D29" t="s">
        <v>179</v>
      </c>
      <c r="F29" s="25" t="s">
        <v>79</v>
      </c>
      <c r="I29" s="54">
        <f ca="1">SUM($I$28:I28)</f>
        <v>-1032.0599948056445</v>
      </c>
      <c r="J29" s="54">
        <f ca="1">SUM($I$28:J28)</f>
        <v>-2648.048302815052</v>
      </c>
      <c r="K29" s="54">
        <f ca="1">SUM($I$28:K28)</f>
        <v>-4940.2764286284328</v>
      </c>
      <c r="L29" s="54">
        <f ca="1">SUM($I$28:L28)</f>
        <v>-7232.8600976057642</v>
      </c>
      <c r="M29" s="54">
        <f ca="1">SUM($I$28:M28)</f>
        <v>-9455.5877908204075</v>
      </c>
    </row>
    <row r="30" spans="3:13" x14ac:dyDescent="0.3">
      <c r="D30" t="s">
        <v>195</v>
      </c>
      <c r="F30" s="25" t="s">
        <v>79</v>
      </c>
      <c r="I30" s="54">
        <f ca="1">-MIN(I29,0)</f>
        <v>1032.0599948056445</v>
      </c>
      <c r="J30" s="54">
        <f t="shared" ref="J30:M30" ca="1" si="10">-MIN(J29,0)</f>
        <v>2648.048302815052</v>
      </c>
      <c r="K30" s="54">
        <f t="shared" ca="1" si="10"/>
        <v>4940.2764286284328</v>
      </c>
      <c r="L30" s="54">
        <f t="shared" ca="1" si="10"/>
        <v>7232.8600976057642</v>
      </c>
      <c r="M30" s="54">
        <f t="shared" ca="1" si="10"/>
        <v>9455.5877908204075</v>
      </c>
    </row>
    <row r="31" spans="3:13" x14ac:dyDescent="0.3">
      <c r="D31" t="s">
        <v>26</v>
      </c>
      <c r="F31" s="25" t="s">
        <v>0</v>
      </c>
      <c r="I31" s="51">
        <f>Inputs!I89</f>
        <v>0.09</v>
      </c>
      <c r="J31" s="51">
        <f>Inputs!J89</f>
        <v>0.09</v>
      </c>
      <c r="K31" s="51">
        <f>Inputs!K89</f>
        <v>0.09</v>
      </c>
      <c r="L31" s="51">
        <f>Inputs!L89</f>
        <v>0.09</v>
      </c>
      <c r="M31" s="51">
        <f>Inputs!M89</f>
        <v>0.09</v>
      </c>
    </row>
    <row r="32" spans="3:13" x14ac:dyDescent="0.3">
      <c r="D32" s="34" t="str">
        <f>"Interest expense on "&amp;C24</f>
        <v>Interest expense on Borrowings</v>
      </c>
      <c r="F32" s="25" t="s">
        <v>79</v>
      </c>
      <c r="I32" s="50">
        <f ca="1">(H30+I30)/2*I31</f>
        <v>46.442699766254002</v>
      </c>
      <c r="J32" s="50">
        <f t="shared" ref="J32:M32" ca="1" si="11">(I30+J30)/2*J31</f>
        <v>165.60487339293132</v>
      </c>
      <c r="K32" s="50">
        <f t="shared" ca="1" si="11"/>
        <v>341.47461291495682</v>
      </c>
      <c r="L32" s="50">
        <f t="shared" ca="1" si="11"/>
        <v>547.79114368053888</v>
      </c>
      <c r="M32" s="50">
        <f t="shared" ca="1" si="11"/>
        <v>750.98015497917766</v>
      </c>
    </row>
    <row r="33" spans="2:13" x14ac:dyDescent="0.3">
      <c r="I33" s="58"/>
      <c r="K33" s="29"/>
    </row>
    <row r="34" spans="2:13" x14ac:dyDescent="0.3">
      <c r="C34" s="26" t="s">
        <v>98</v>
      </c>
    </row>
    <row r="35" spans="2:13" x14ac:dyDescent="0.3">
      <c r="D35" t="str">
        <f>C7</f>
        <v>Savings account</v>
      </c>
      <c r="F35" s="25" t="s">
        <v>79</v>
      </c>
      <c r="I35" s="50">
        <f>I10</f>
        <v>5.6875000000000009</v>
      </c>
      <c r="J35" s="50">
        <f t="shared" ref="J35:M35" si="12">J10</f>
        <v>13.650000000000002</v>
      </c>
      <c r="K35" s="50">
        <f t="shared" si="12"/>
        <v>18.711875000000003</v>
      </c>
      <c r="L35" s="50">
        <f t="shared" si="12"/>
        <v>24.186093750000001</v>
      </c>
      <c r="M35" s="50">
        <f t="shared" si="12"/>
        <v>28.888945312500002</v>
      </c>
    </row>
    <row r="36" spans="2:13" x14ac:dyDescent="0.3">
      <c r="D36" t="str">
        <f>C12</f>
        <v>Current account</v>
      </c>
      <c r="F36" s="25" t="s">
        <v>79</v>
      </c>
      <c r="I36" s="50">
        <f>I15</f>
        <v>0</v>
      </c>
      <c r="J36" s="50">
        <f t="shared" ref="J36:M36" si="13">J15</f>
        <v>0</v>
      </c>
      <c r="K36" s="50">
        <f t="shared" si="13"/>
        <v>0</v>
      </c>
      <c r="L36" s="50">
        <f t="shared" si="13"/>
        <v>0</v>
      </c>
      <c r="M36" s="50">
        <f t="shared" si="13"/>
        <v>0</v>
      </c>
    </row>
    <row r="37" spans="2:13" x14ac:dyDescent="0.3">
      <c r="D37" t="str">
        <f>C17</f>
        <v>Term deposits</v>
      </c>
      <c r="F37" s="25" t="s">
        <v>79</v>
      </c>
      <c r="I37" s="50">
        <f>I22</f>
        <v>34.821428571428577</v>
      </c>
      <c r="J37" s="50">
        <f t="shared" ref="J37:M37" si="14">J22</f>
        <v>83.571428571428584</v>
      </c>
      <c r="K37" s="50">
        <f t="shared" si="14"/>
        <v>106.56907894736844</v>
      </c>
      <c r="L37" s="50">
        <f t="shared" si="14"/>
        <v>118.99095394736844</v>
      </c>
      <c r="M37" s="50">
        <f t="shared" si="14"/>
        <v>116.3583984375</v>
      </c>
    </row>
    <row r="38" spans="2:13" x14ac:dyDescent="0.3">
      <c r="D38" t="s">
        <v>49</v>
      </c>
      <c r="F38" s="25" t="s">
        <v>79</v>
      </c>
      <c r="I38" s="50">
        <f ca="1">I32</f>
        <v>46.442699766254002</v>
      </c>
      <c r="J38" s="50">
        <f t="shared" ref="J38:M38" ca="1" si="15">J32</f>
        <v>165.60487339293132</v>
      </c>
      <c r="K38" s="50">
        <f t="shared" ca="1" si="15"/>
        <v>341.47461291495682</v>
      </c>
      <c r="L38" s="50">
        <f t="shared" ca="1" si="15"/>
        <v>547.79114368053888</v>
      </c>
      <c r="M38" s="50">
        <f t="shared" ca="1" si="15"/>
        <v>750.98015497917766</v>
      </c>
    </row>
    <row r="39" spans="2:13" x14ac:dyDescent="0.3">
      <c r="D39" t="str">
        <f>C34</f>
        <v>Total interest expense</v>
      </c>
      <c r="F39" s="25" t="s">
        <v>79</v>
      </c>
      <c r="I39" s="50">
        <f ca="1">SUM(I35:I38)</f>
        <v>86.951628337682578</v>
      </c>
      <c r="J39" s="50">
        <f t="shared" ref="J39:M39" ca="1" si="16">SUM(J35:J38)</f>
        <v>262.82630196435991</v>
      </c>
      <c r="K39" s="50">
        <f t="shared" ca="1" si="16"/>
        <v>466.75556686232528</v>
      </c>
      <c r="L39" s="50">
        <f t="shared" ca="1" si="16"/>
        <v>690.96819137790726</v>
      </c>
      <c r="M39" s="50">
        <f t="shared" ca="1" si="16"/>
        <v>896.22749872917768</v>
      </c>
    </row>
    <row r="41" spans="2:13" ht="15" thickBot="1" x14ac:dyDescent="0.35"/>
    <row r="42" spans="2:13" s="9" customFormat="1" x14ac:dyDescent="0.3">
      <c r="B42" s="8" t="s">
        <v>14</v>
      </c>
      <c r="C4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7B48-42F2-4684-8FC9-5E2740F16D68}">
  <sheetPr codeName="Sheet6"/>
  <dimension ref="A1:AI99"/>
  <sheetViews>
    <sheetView showGridLines="0" zoomScale="96" zoomScaleNormal="110" workbookViewId="0">
      <pane xSplit="8" ySplit="3" topLeftCell="I22" activePane="bottomRight" state="frozen"/>
      <selection pane="topRight" activeCell="G1" sqref="G1"/>
      <selection pane="bottomLeft" activeCell="A4" sqref="A4"/>
      <selection pane="bottomRight" activeCell="H12" sqref="H12"/>
    </sheetView>
  </sheetViews>
  <sheetFormatPr defaultColWidth="0" defaultRowHeight="14.4" customHeight="1" x14ac:dyDescent="0.3"/>
  <cols>
    <col min="1" max="2" width="3.21875" customWidth="1"/>
    <col min="3" max="3" width="5.44140625" bestFit="1" customWidth="1"/>
    <col min="4" max="4" width="3.21875" customWidth="1"/>
    <col min="5" max="5" width="27" customWidth="1"/>
    <col min="6" max="6" width="5.109375" style="25" customWidth="1"/>
    <col min="7" max="7" width="8.88671875" customWidth="1"/>
    <col min="8" max="8" width="12.44140625" customWidth="1"/>
    <col min="9" max="9" width="11.5546875" bestFit="1" customWidth="1"/>
    <col min="10" max="10" width="12.21875" bestFit="1" customWidth="1"/>
    <col min="11" max="12" width="11" bestFit="1" customWidth="1"/>
    <col min="13" max="13" width="11.5546875" bestFit="1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59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111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5.6" x14ac:dyDescent="0.3">
      <c r="B5" s="30" t="s">
        <v>51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7" spans="2:35" x14ac:dyDescent="0.3">
      <c r="C7" t="s">
        <v>8</v>
      </c>
      <c r="F7" s="25" t="s">
        <v>17</v>
      </c>
      <c r="I7" s="54">
        <f>Inputs!I99</f>
        <v>115000000</v>
      </c>
      <c r="J7" s="54">
        <f>Inputs!J99</f>
        <v>30000000</v>
      </c>
      <c r="K7" s="54">
        <f>Inputs!K99</f>
        <v>45000000</v>
      </c>
      <c r="L7" s="54">
        <f>Inputs!L99</f>
        <v>60000000</v>
      </c>
      <c r="M7" s="54">
        <f>Inputs!M99</f>
        <v>85000000</v>
      </c>
    </row>
    <row r="8" spans="2:35" x14ac:dyDescent="0.3">
      <c r="C8" t="s">
        <v>53</v>
      </c>
      <c r="F8" s="25" t="s">
        <v>1</v>
      </c>
      <c r="H8" s="54">
        <f>Inputs!H103</f>
        <v>7</v>
      </c>
    </row>
    <row r="10" spans="2:35" x14ac:dyDescent="0.3">
      <c r="C10" s="26" t="s">
        <v>12</v>
      </c>
    </row>
    <row r="11" spans="2:35" x14ac:dyDescent="0.3">
      <c r="D11" t="s">
        <v>6</v>
      </c>
      <c r="F11" s="25" t="s">
        <v>79</v>
      </c>
      <c r="I11" s="39"/>
      <c r="J11" s="54">
        <f t="shared" ref="J11:M11" ca="1" si="1">I14</f>
        <v>98.571428571428569</v>
      </c>
      <c r="K11" s="54">
        <f t="shared" ca="1" si="1"/>
        <v>107.85714285714283</v>
      </c>
      <c r="L11" s="54">
        <f t="shared" ca="1" si="1"/>
        <v>125.71428571428569</v>
      </c>
      <c r="M11" s="54">
        <f t="shared" ca="1" si="1"/>
        <v>149.99999999999997</v>
      </c>
    </row>
    <row r="12" spans="2:35" x14ac:dyDescent="0.3">
      <c r="D12" t="s">
        <v>112</v>
      </c>
      <c r="F12" s="25" t="s">
        <v>79</v>
      </c>
      <c r="I12" s="54">
        <f>I7/10^6</f>
        <v>115</v>
      </c>
      <c r="J12" s="54">
        <f t="shared" ref="J12:M12" si="2">J7/10^6</f>
        <v>30</v>
      </c>
      <c r="K12" s="54">
        <f t="shared" si="2"/>
        <v>45</v>
      </c>
      <c r="L12" s="54">
        <f t="shared" si="2"/>
        <v>60</v>
      </c>
      <c r="M12" s="54">
        <f t="shared" si="2"/>
        <v>85</v>
      </c>
    </row>
    <row r="13" spans="2:35" x14ac:dyDescent="0.3">
      <c r="D13" t="s">
        <v>113</v>
      </c>
      <c r="F13" s="25" t="s">
        <v>79</v>
      </c>
      <c r="I13" s="54">
        <f t="shared" ref="I13:M13" ca="1" si="3">SUM(OFFSET(I12,0,0,1,-MIN(I$3,$H8)))/$H8</f>
        <v>16.428571428571427</v>
      </c>
      <c r="J13" s="54">
        <f t="shared" ca="1" si="3"/>
        <v>20.714285714285715</v>
      </c>
      <c r="K13" s="54">
        <f t="shared" ca="1" si="3"/>
        <v>27.142857142857142</v>
      </c>
      <c r="L13" s="54">
        <f t="shared" ca="1" si="3"/>
        <v>35.714285714285715</v>
      </c>
      <c r="M13" s="54">
        <f t="shared" ca="1" si="3"/>
        <v>47.857142857142854</v>
      </c>
    </row>
    <row r="14" spans="2:35" x14ac:dyDescent="0.3">
      <c r="D14" t="s">
        <v>7</v>
      </c>
      <c r="F14" s="25" t="s">
        <v>79</v>
      </c>
      <c r="I14" s="54">
        <f t="shared" ref="I14:M14" ca="1" si="4">I11+I12-I13</f>
        <v>98.571428571428569</v>
      </c>
      <c r="J14" s="54">
        <f t="shared" ca="1" si="4"/>
        <v>107.85714285714283</v>
      </c>
      <c r="K14" s="54">
        <f t="shared" ca="1" si="4"/>
        <v>125.71428571428569</v>
      </c>
      <c r="L14" s="54">
        <f t="shared" ca="1" si="4"/>
        <v>149.99999999999997</v>
      </c>
      <c r="M14" s="54">
        <f t="shared" ca="1" si="4"/>
        <v>187.14285714285711</v>
      </c>
    </row>
    <row r="16" spans="2:35" ht="15.6" x14ac:dyDescent="0.3">
      <c r="B16" s="30" t="s">
        <v>52</v>
      </c>
      <c r="C16" s="31"/>
      <c r="D16" s="31"/>
      <c r="E16" s="31"/>
      <c r="F16" s="32"/>
      <c r="G16" s="31"/>
      <c r="H16" s="31"/>
      <c r="I16" s="31"/>
      <c r="J16" s="31"/>
      <c r="K16" s="31"/>
      <c r="L16" s="31"/>
      <c r="M16" s="33"/>
    </row>
    <row r="18" spans="2:14" x14ac:dyDescent="0.3">
      <c r="C18" t="s">
        <v>8</v>
      </c>
      <c r="F18" s="25" t="s">
        <v>17</v>
      </c>
      <c r="I18" s="50">
        <f>Inputs!I100</f>
        <v>180000000</v>
      </c>
      <c r="J18" s="50">
        <f>Inputs!J100</f>
        <v>50000000</v>
      </c>
      <c r="K18" s="50">
        <f>Inputs!K100</f>
        <v>60000000</v>
      </c>
      <c r="L18" s="50">
        <f>Inputs!L100</f>
        <v>75000000</v>
      </c>
      <c r="M18" s="50">
        <f>Inputs!M100</f>
        <v>105000000</v>
      </c>
    </row>
    <row r="19" spans="2:14" x14ac:dyDescent="0.3">
      <c r="C19" t="s">
        <v>53</v>
      </c>
      <c r="F19" s="25" t="s">
        <v>1</v>
      </c>
      <c r="H19" s="50">
        <f>Inputs!H104</f>
        <v>5</v>
      </c>
      <c r="M19" s="29"/>
    </row>
    <row r="20" spans="2:14" ht="14.4" customHeight="1" x14ac:dyDescent="0.3">
      <c r="L20" s="11"/>
    </row>
    <row r="21" spans="2:14" x14ac:dyDescent="0.3">
      <c r="C21" s="26" t="s">
        <v>12</v>
      </c>
    </row>
    <row r="22" spans="2:14" x14ac:dyDescent="0.3">
      <c r="D22" t="s">
        <v>6</v>
      </c>
      <c r="F22" s="25" t="s">
        <v>79</v>
      </c>
      <c r="I22" s="39"/>
      <c r="J22" s="50">
        <f t="shared" ref="J22:M22" ca="1" si="5">I25</f>
        <v>144</v>
      </c>
      <c r="K22" s="50">
        <f t="shared" ca="1" si="5"/>
        <v>148</v>
      </c>
      <c r="L22" s="50">
        <f t="shared" ca="1" si="5"/>
        <v>150</v>
      </c>
      <c r="M22" s="50">
        <f t="shared" ca="1" si="5"/>
        <v>152</v>
      </c>
    </row>
    <row r="23" spans="2:14" x14ac:dyDescent="0.3">
      <c r="D23" t="s">
        <v>112</v>
      </c>
      <c r="F23" s="25" t="s">
        <v>79</v>
      </c>
      <c r="I23" s="50">
        <f t="shared" ref="I23:M23" si="6">I18/10^6</f>
        <v>180</v>
      </c>
      <c r="J23" s="50">
        <f t="shared" si="6"/>
        <v>50</v>
      </c>
      <c r="K23" s="50">
        <f t="shared" si="6"/>
        <v>60</v>
      </c>
      <c r="L23" s="50">
        <f t="shared" si="6"/>
        <v>75</v>
      </c>
      <c r="M23" s="50">
        <f t="shared" si="6"/>
        <v>105</v>
      </c>
      <c r="N23" s="40"/>
    </row>
    <row r="24" spans="2:14" x14ac:dyDescent="0.3">
      <c r="D24" t="s">
        <v>113</v>
      </c>
      <c r="F24" s="25" t="s">
        <v>79</v>
      </c>
      <c r="I24" s="50">
        <f t="shared" ref="I24:L24" ca="1" si="7">SUM(OFFSET(I23,0,0,1,-MIN($H$19,I3)))/$H$19</f>
        <v>36</v>
      </c>
      <c r="J24" s="50">
        <f t="shared" ca="1" si="7"/>
        <v>46</v>
      </c>
      <c r="K24" s="50">
        <f t="shared" ca="1" si="7"/>
        <v>58</v>
      </c>
      <c r="L24" s="50">
        <f t="shared" ca="1" si="7"/>
        <v>73</v>
      </c>
      <c r="M24" s="50">
        <f ca="1">SUM(OFFSET(M23,0,0,1,-MIN($H$19,M3)))/$H$19</f>
        <v>94</v>
      </c>
    </row>
    <row r="25" spans="2:14" x14ac:dyDescent="0.3">
      <c r="D25" t="s">
        <v>7</v>
      </c>
      <c r="F25" s="25" t="s">
        <v>79</v>
      </c>
      <c r="I25" s="50">
        <f t="shared" ref="I25:M25" ca="1" si="8">I22+I23-I24</f>
        <v>144</v>
      </c>
      <c r="J25" s="50">
        <f t="shared" ca="1" si="8"/>
        <v>148</v>
      </c>
      <c r="K25" s="50">
        <f t="shared" ca="1" si="8"/>
        <v>150</v>
      </c>
      <c r="L25" s="50">
        <f t="shared" ca="1" si="8"/>
        <v>152</v>
      </c>
      <c r="M25" s="50">
        <f t="shared" ca="1" si="8"/>
        <v>163</v>
      </c>
    </row>
    <row r="27" spans="2:14" ht="15.6" x14ac:dyDescent="0.3">
      <c r="B27" s="30" t="s">
        <v>114</v>
      </c>
      <c r="C27" s="31"/>
      <c r="D27" s="31"/>
      <c r="E27" s="31"/>
      <c r="F27" s="32"/>
      <c r="G27" s="31"/>
      <c r="H27" s="31"/>
      <c r="I27" s="31"/>
      <c r="J27" s="31"/>
      <c r="K27" s="31"/>
      <c r="L27" s="31"/>
      <c r="M27" s="33"/>
    </row>
    <row r="29" spans="2:14" x14ac:dyDescent="0.3">
      <c r="C29" s="26" t="s">
        <v>116</v>
      </c>
    </row>
    <row r="30" spans="2:14" x14ac:dyDescent="0.3">
      <c r="D30" t="s">
        <v>8</v>
      </c>
      <c r="F30" s="25" t="s">
        <v>79</v>
      </c>
      <c r="I30" s="50">
        <f>I12+I23</f>
        <v>295</v>
      </c>
      <c r="J30" s="50">
        <f t="shared" ref="J30:M30" si="9">J12+J23</f>
        <v>80</v>
      </c>
      <c r="K30" s="50">
        <f t="shared" si="9"/>
        <v>105</v>
      </c>
      <c r="L30" s="50">
        <f t="shared" si="9"/>
        <v>135</v>
      </c>
      <c r="M30" s="50">
        <f t="shared" si="9"/>
        <v>190</v>
      </c>
    </row>
    <row r="31" spans="2:14" x14ac:dyDescent="0.3">
      <c r="D31" t="s">
        <v>2</v>
      </c>
      <c r="F31" s="25" t="s">
        <v>79</v>
      </c>
      <c r="I31" s="50">
        <f ca="1">I13+I24</f>
        <v>52.428571428571431</v>
      </c>
      <c r="J31" s="50">
        <f t="shared" ref="J31:M32" ca="1" si="10">J13+J24</f>
        <v>66.714285714285722</v>
      </c>
      <c r="K31" s="50">
        <f t="shared" ca="1" si="10"/>
        <v>85.142857142857139</v>
      </c>
      <c r="L31" s="50">
        <f t="shared" ca="1" si="10"/>
        <v>108.71428571428572</v>
      </c>
      <c r="M31" s="50">
        <f t="shared" ca="1" si="10"/>
        <v>141.85714285714286</v>
      </c>
    </row>
    <row r="32" spans="2:14" x14ac:dyDescent="0.3">
      <c r="D32" t="s">
        <v>115</v>
      </c>
      <c r="F32" s="25" t="s">
        <v>79</v>
      </c>
      <c r="I32" s="50">
        <f ca="1">I14+I25</f>
        <v>242.57142857142856</v>
      </c>
      <c r="J32" s="50">
        <f t="shared" ca="1" si="10"/>
        <v>255.85714285714283</v>
      </c>
      <c r="K32" s="50">
        <f t="shared" ca="1" si="10"/>
        <v>275.71428571428567</v>
      </c>
      <c r="L32" s="50">
        <f t="shared" ca="1" si="10"/>
        <v>302</v>
      </c>
      <c r="M32" s="50">
        <f t="shared" ca="1" si="10"/>
        <v>350.14285714285711</v>
      </c>
    </row>
    <row r="35" spans="2:6" ht="15" thickBot="1" x14ac:dyDescent="0.35"/>
    <row r="36" spans="2:6" s="9" customFormat="1" x14ac:dyDescent="0.3">
      <c r="B36" s="8" t="s">
        <v>14</v>
      </c>
      <c r="C36" s="8"/>
    </row>
    <row r="37" spans="2:6" ht="14.4" customHeight="1" x14ac:dyDescent="0.3">
      <c r="F37"/>
    </row>
    <row r="38" spans="2:6" ht="14.4" customHeight="1" x14ac:dyDescent="0.3">
      <c r="F38"/>
    </row>
    <row r="39" spans="2:6" ht="14.4" customHeight="1" x14ac:dyDescent="0.3">
      <c r="F39"/>
    </row>
    <row r="40" spans="2:6" ht="14.4" customHeight="1" x14ac:dyDescent="0.3">
      <c r="F40"/>
    </row>
    <row r="41" spans="2:6" ht="14.4" customHeight="1" x14ac:dyDescent="0.3">
      <c r="F41"/>
    </row>
    <row r="42" spans="2:6" ht="14.4" customHeight="1" x14ac:dyDescent="0.3">
      <c r="F42"/>
    </row>
    <row r="43" spans="2:6" ht="14.4" customHeight="1" x14ac:dyDescent="0.3">
      <c r="F43"/>
    </row>
    <row r="44" spans="2:6" ht="14.4" customHeight="1" x14ac:dyDescent="0.3">
      <c r="F44"/>
    </row>
    <row r="45" spans="2:6" ht="14.4" customHeight="1" x14ac:dyDescent="0.3">
      <c r="F45"/>
    </row>
    <row r="46" spans="2:6" ht="14.4" customHeight="1" x14ac:dyDescent="0.3">
      <c r="F46"/>
    </row>
    <row r="47" spans="2:6" ht="14.4" customHeight="1" x14ac:dyDescent="0.3">
      <c r="F47"/>
    </row>
    <row r="48" spans="2:6" ht="14.4" customHeight="1" x14ac:dyDescent="0.3">
      <c r="F48"/>
    </row>
    <row r="49" spans="6:6" ht="14.4" customHeight="1" x14ac:dyDescent="0.3">
      <c r="F49"/>
    </row>
    <row r="50" spans="6:6" ht="14.4" customHeight="1" x14ac:dyDescent="0.3">
      <c r="F50"/>
    </row>
    <row r="51" spans="6:6" ht="14.4" customHeight="1" x14ac:dyDescent="0.3">
      <c r="F51"/>
    </row>
    <row r="52" spans="6:6" ht="14.4" customHeight="1" x14ac:dyDescent="0.3">
      <c r="F52"/>
    </row>
    <row r="53" spans="6:6" ht="14.4" customHeight="1" x14ac:dyDescent="0.3">
      <c r="F53"/>
    </row>
    <row r="54" spans="6:6" ht="14.4" customHeight="1" x14ac:dyDescent="0.3">
      <c r="F54"/>
    </row>
    <row r="55" spans="6:6" ht="14.4" customHeight="1" x14ac:dyDescent="0.3">
      <c r="F55"/>
    </row>
    <row r="56" spans="6:6" ht="14.4" customHeight="1" x14ac:dyDescent="0.3">
      <c r="F56"/>
    </row>
    <row r="57" spans="6:6" ht="14.4" customHeight="1" x14ac:dyDescent="0.3">
      <c r="F57"/>
    </row>
    <row r="58" spans="6:6" ht="14.4" customHeight="1" x14ac:dyDescent="0.3">
      <c r="F58"/>
    </row>
    <row r="59" spans="6:6" ht="14.4" customHeight="1" x14ac:dyDescent="0.3">
      <c r="F59"/>
    </row>
    <row r="60" spans="6:6" ht="14.4" customHeight="1" x14ac:dyDescent="0.3">
      <c r="F60"/>
    </row>
    <row r="61" spans="6:6" ht="14.4" customHeight="1" x14ac:dyDescent="0.3">
      <c r="F61"/>
    </row>
    <row r="62" spans="6:6" ht="14.4" customHeight="1" x14ac:dyDescent="0.3">
      <c r="F62"/>
    </row>
    <row r="63" spans="6:6" ht="14.4" customHeight="1" x14ac:dyDescent="0.3">
      <c r="F63"/>
    </row>
    <row r="64" spans="6:6" ht="14.4" customHeight="1" x14ac:dyDescent="0.3">
      <c r="F64"/>
    </row>
    <row r="65" spans="6:6" ht="14.4" customHeight="1" x14ac:dyDescent="0.3">
      <c r="F65"/>
    </row>
    <row r="66" spans="6:6" ht="14.4" customHeight="1" x14ac:dyDescent="0.3">
      <c r="F66"/>
    </row>
    <row r="67" spans="6:6" ht="14.4" customHeight="1" x14ac:dyDescent="0.3">
      <c r="F67"/>
    </row>
    <row r="68" spans="6:6" ht="14.4" customHeight="1" x14ac:dyDescent="0.3">
      <c r="F68"/>
    </row>
    <row r="69" spans="6:6" ht="14.4" customHeight="1" x14ac:dyDescent="0.3">
      <c r="F69"/>
    </row>
    <row r="70" spans="6:6" ht="14.4" customHeight="1" x14ac:dyDescent="0.3">
      <c r="F70"/>
    </row>
    <row r="71" spans="6:6" ht="14.4" customHeight="1" x14ac:dyDescent="0.3">
      <c r="F71"/>
    </row>
    <row r="72" spans="6:6" ht="14.4" customHeight="1" x14ac:dyDescent="0.3">
      <c r="F72"/>
    </row>
    <row r="73" spans="6:6" ht="14.4" customHeight="1" x14ac:dyDescent="0.3">
      <c r="F73"/>
    </row>
    <row r="74" spans="6:6" ht="14.4" customHeight="1" x14ac:dyDescent="0.3">
      <c r="F74"/>
    </row>
    <row r="75" spans="6:6" ht="14.4" customHeight="1" x14ac:dyDescent="0.3">
      <c r="F75"/>
    </row>
    <row r="76" spans="6:6" ht="14.4" customHeight="1" x14ac:dyDescent="0.3">
      <c r="F76"/>
    </row>
    <row r="77" spans="6:6" ht="14.4" customHeight="1" x14ac:dyDescent="0.3">
      <c r="F77"/>
    </row>
    <row r="78" spans="6:6" ht="14.4" customHeight="1" x14ac:dyDescent="0.3">
      <c r="F78"/>
    </row>
    <row r="79" spans="6:6" ht="14.4" customHeight="1" x14ac:dyDescent="0.3">
      <c r="F79"/>
    </row>
    <row r="80" spans="6:6" ht="14.4" customHeight="1" x14ac:dyDescent="0.3">
      <c r="F80"/>
    </row>
    <row r="81" spans="6:6" ht="14.4" customHeight="1" x14ac:dyDescent="0.3">
      <c r="F81"/>
    </row>
    <row r="82" spans="6:6" ht="14.4" customHeight="1" x14ac:dyDescent="0.3">
      <c r="F82"/>
    </row>
    <row r="83" spans="6:6" ht="14.4" customHeight="1" x14ac:dyDescent="0.3">
      <c r="F83"/>
    </row>
    <row r="84" spans="6:6" ht="14.4" customHeight="1" x14ac:dyDescent="0.3">
      <c r="F84"/>
    </row>
    <row r="85" spans="6:6" ht="14.4" customHeight="1" x14ac:dyDescent="0.3">
      <c r="F85"/>
    </row>
    <row r="86" spans="6:6" ht="14.4" customHeight="1" x14ac:dyDescent="0.3">
      <c r="F86"/>
    </row>
    <row r="87" spans="6:6" ht="14.4" customHeight="1" x14ac:dyDescent="0.3">
      <c r="F87"/>
    </row>
    <row r="88" spans="6:6" ht="14.4" customHeight="1" x14ac:dyDescent="0.3">
      <c r="F88"/>
    </row>
    <row r="89" spans="6:6" ht="14.4" customHeight="1" x14ac:dyDescent="0.3">
      <c r="F89"/>
    </row>
    <row r="90" spans="6:6" ht="14.4" customHeight="1" x14ac:dyDescent="0.3">
      <c r="F90"/>
    </row>
    <row r="91" spans="6:6" ht="14.4" customHeight="1" x14ac:dyDescent="0.3">
      <c r="F91"/>
    </row>
    <row r="92" spans="6:6" ht="14.4" customHeight="1" x14ac:dyDescent="0.3">
      <c r="F92"/>
    </row>
    <row r="93" spans="6:6" ht="14.4" customHeight="1" x14ac:dyDescent="0.3">
      <c r="F93"/>
    </row>
    <row r="94" spans="6:6" ht="14.4" customHeight="1" x14ac:dyDescent="0.3">
      <c r="F94"/>
    </row>
    <row r="95" spans="6:6" ht="14.4" customHeight="1" x14ac:dyDescent="0.3">
      <c r="F95"/>
    </row>
    <row r="96" spans="6:6" ht="14.4" customHeight="1" x14ac:dyDescent="0.3">
      <c r="F96"/>
    </row>
    <row r="97" spans="6:6" ht="14.4" customHeight="1" x14ac:dyDescent="0.3">
      <c r="F97"/>
    </row>
    <row r="98" spans="6:6" ht="14.4" customHeight="1" x14ac:dyDescent="0.3">
      <c r="F98"/>
    </row>
    <row r="99" spans="6:6" ht="14.4" customHeight="1" x14ac:dyDescent="0.3">
      <c r="F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531-7FB8-4935-86C4-29305962E212}">
  <sheetPr codeName="Sheet7"/>
  <dimension ref="A1:AI88"/>
  <sheetViews>
    <sheetView showGridLines="0" zoomScale="82" zoomScaleNormal="100" workbookViewId="0">
      <pane xSplit="8" ySplit="3" topLeftCell="I65" activePane="bottomRight" state="frozen"/>
      <selection pane="topRight" activeCell="G1" sqref="G1"/>
      <selection pane="bottomLeft" activeCell="A4" sqref="A4"/>
      <selection pane="bottomRight" activeCell="D75" sqref="A1:XFD1048576"/>
    </sheetView>
  </sheetViews>
  <sheetFormatPr defaultColWidth="0" defaultRowHeight="14.4" customHeight="1" x14ac:dyDescent="0.3"/>
  <cols>
    <col min="1" max="1" width="1" customWidth="1"/>
    <col min="2" max="4" width="3.21875" customWidth="1"/>
    <col min="5" max="5" width="42.77734375" customWidth="1"/>
    <col min="6" max="6" width="6.5546875" style="25" customWidth="1"/>
    <col min="7" max="7" width="11.77734375" bestFit="1" customWidth="1"/>
    <col min="8" max="8" width="25.218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155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5.6" x14ac:dyDescent="0.3">
      <c r="B5" s="30" t="s">
        <v>54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7" spans="2:35" x14ac:dyDescent="0.3">
      <c r="C7" s="26" t="s">
        <v>57</v>
      </c>
    </row>
    <row r="8" spans="2:35" x14ac:dyDescent="0.3">
      <c r="D8" t="s">
        <v>55</v>
      </c>
      <c r="F8" s="25" t="s">
        <v>23</v>
      </c>
      <c r="I8" s="50">
        <f>Inputs!I109</f>
        <v>2</v>
      </c>
      <c r="J8" s="50">
        <f>Inputs!J109</f>
        <v>3</v>
      </c>
      <c r="K8" s="50">
        <f>Inputs!K109</f>
        <v>3</v>
      </c>
      <c r="L8" s="50">
        <f>Inputs!L109</f>
        <v>5</v>
      </c>
      <c r="M8" s="50">
        <f>Inputs!M109</f>
        <v>6</v>
      </c>
    </row>
    <row r="9" spans="2:35" x14ac:dyDescent="0.3">
      <c r="D9" t="s">
        <v>56</v>
      </c>
      <c r="F9" s="25" t="s">
        <v>23</v>
      </c>
      <c r="I9" s="50">
        <f>Inputs!I110</f>
        <v>6</v>
      </c>
      <c r="J9" s="50">
        <f>Inputs!J110</f>
        <v>11</v>
      </c>
      <c r="K9" s="50">
        <f>Inputs!K110</f>
        <v>11</v>
      </c>
      <c r="L9" s="50">
        <f>Inputs!L110</f>
        <v>13</v>
      </c>
      <c r="M9" s="50">
        <f>Inputs!M110</f>
        <v>14</v>
      </c>
    </row>
    <row r="10" spans="2:35" x14ac:dyDescent="0.3">
      <c r="D10" t="s">
        <v>58</v>
      </c>
      <c r="F10" s="25" t="s">
        <v>23</v>
      </c>
      <c r="I10" s="50">
        <f>Inputs!I111</f>
        <v>9</v>
      </c>
      <c r="J10" s="50">
        <f>Inputs!J111</f>
        <v>17</v>
      </c>
      <c r="K10" s="50">
        <f>Inputs!K111</f>
        <v>19</v>
      </c>
      <c r="L10" s="50">
        <f>Inputs!L111</f>
        <v>19</v>
      </c>
      <c r="M10" s="50">
        <f>Inputs!M111</f>
        <v>22</v>
      </c>
    </row>
    <row r="11" spans="2:35" x14ac:dyDescent="0.3">
      <c r="D11" t="s">
        <v>59</v>
      </c>
      <c r="F11" s="25" t="s">
        <v>23</v>
      </c>
      <c r="I11" s="50">
        <f>Inputs!I112</f>
        <v>18</v>
      </c>
      <c r="J11" s="50">
        <f>Inputs!J112</f>
        <v>32</v>
      </c>
      <c r="K11" s="50">
        <f>Inputs!K112</f>
        <v>37</v>
      </c>
      <c r="L11" s="50">
        <f>Inputs!L112</f>
        <v>44</v>
      </c>
      <c r="M11" s="50">
        <f>Inputs!M112</f>
        <v>47</v>
      </c>
    </row>
    <row r="12" spans="2:35" x14ac:dyDescent="0.3">
      <c r="D12" t="s">
        <v>60</v>
      </c>
      <c r="F12" s="25" t="s">
        <v>23</v>
      </c>
      <c r="I12" s="50">
        <f>Inputs!I113</f>
        <v>22</v>
      </c>
      <c r="J12" s="50">
        <f>Inputs!J113</f>
        <v>35</v>
      </c>
      <c r="K12" s="50">
        <f>Inputs!K113</f>
        <v>39</v>
      </c>
      <c r="L12" s="50">
        <f>Inputs!L113</f>
        <v>44</v>
      </c>
      <c r="M12" s="50">
        <f>Inputs!M113</f>
        <v>48</v>
      </c>
    </row>
    <row r="13" spans="2:35" x14ac:dyDescent="0.3">
      <c r="D13" t="s">
        <v>9</v>
      </c>
      <c r="F13" s="25" t="s">
        <v>23</v>
      </c>
      <c r="I13" s="50">
        <f t="shared" ref="I13:M13" si="1">SUM(I8:I12)</f>
        <v>57</v>
      </c>
      <c r="J13" s="50">
        <f t="shared" si="1"/>
        <v>98</v>
      </c>
      <c r="K13" s="50">
        <f t="shared" si="1"/>
        <v>109</v>
      </c>
      <c r="L13" s="50">
        <f t="shared" si="1"/>
        <v>125</v>
      </c>
      <c r="M13" s="50">
        <f t="shared" si="1"/>
        <v>137</v>
      </c>
    </row>
    <row r="15" spans="2:35" x14ac:dyDescent="0.3">
      <c r="C15" s="26" t="s">
        <v>158</v>
      </c>
    </row>
    <row r="16" spans="2:35" x14ac:dyDescent="0.3">
      <c r="D16" t="s">
        <v>55</v>
      </c>
      <c r="F16" s="25" t="s">
        <v>17</v>
      </c>
      <c r="I16" s="50">
        <f>Inputs!I117</f>
        <v>5000000</v>
      </c>
      <c r="J16" s="50">
        <f>Inputs!J117</f>
        <v>5375000</v>
      </c>
      <c r="K16" s="50">
        <f>Inputs!K117</f>
        <v>5778125</v>
      </c>
      <c r="L16" s="50">
        <f>Inputs!L117</f>
        <v>6182593.75</v>
      </c>
      <c r="M16" s="50">
        <f>Inputs!M117</f>
        <v>6615375.3125</v>
      </c>
    </row>
    <row r="17" spans="3:13" x14ac:dyDescent="0.3">
      <c r="D17" t="s">
        <v>56</v>
      </c>
      <c r="F17" s="25" t="s">
        <v>17</v>
      </c>
      <c r="I17" s="50">
        <f>Inputs!I118</f>
        <v>1800000</v>
      </c>
      <c r="J17" s="50">
        <f>Inputs!J118</f>
        <v>1935000</v>
      </c>
      <c r="K17" s="50">
        <f>Inputs!K118</f>
        <v>2080125</v>
      </c>
      <c r="L17" s="50">
        <f>Inputs!L118</f>
        <v>2225733.75</v>
      </c>
      <c r="M17" s="50">
        <f>Inputs!M118</f>
        <v>2381535.1125000003</v>
      </c>
    </row>
    <row r="18" spans="3:13" x14ac:dyDescent="0.3">
      <c r="D18" t="s">
        <v>58</v>
      </c>
      <c r="F18" s="25" t="s">
        <v>17</v>
      </c>
      <c r="I18" s="50">
        <f>Inputs!I119</f>
        <v>1200000</v>
      </c>
      <c r="J18" s="50">
        <f>Inputs!J119</f>
        <v>1290000</v>
      </c>
      <c r="K18" s="50">
        <f>Inputs!K119</f>
        <v>1386750</v>
      </c>
      <c r="L18" s="50">
        <f>Inputs!L119</f>
        <v>1483822.5</v>
      </c>
      <c r="M18" s="50">
        <f>Inputs!M119</f>
        <v>1587690.0750000002</v>
      </c>
    </row>
    <row r="19" spans="3:13" x14ac:dyDescent="0.3">
      <c r="D19" t="s">
        <v>59</v>
      </c>
      <c r="F19" s="25" t="s">
        <v>17</v>
      </c>
      <c r="I19" s="50">
        <f>Inputs!I120</f>
        <v>500000</v>
      </c>
      <c r="J19" s="50">
        <f>Inputs!J120</f>
        <v>537500</v>
      </c>
      <c r="K19" s="50">
        <f>Inputs!K120</f>
        <v>577812.5</v>
      </c>
      <c r="L19" s="50">
        <f>Inputs!L120</f>
        <v>618259.375</v>
      </c>
      <c r="M19" s="50">
        <f>Inputs!M120</f>
        <v>661537.53125</v>
      </c>
    </row>
    <row r="20" spans="3:13" x14ac:dyDescent="0.3">
      <c r="D20" t="s">
        <v>60</v>
      </c>
      <c r="F20" s="25" t="s">
        <v>17</v>
      </c>
      <c r="I20" s="50">
        <f>Inputs!I121</f>
        <v>250000</v>
      </c>
      <c r="J20" s="50">
        <f>Inputs!J121</f>
        <v>268750</v>
      </c>
      <c r="K20" s="50">
        <f>Inputs!K121</f>
        <v>288906.25</v>
      </c>
      <c r="L20" s="50">
        <f>Inputs!L121</f>
        <v>309129.6875</v>
      </c>
      <c r="M20" s="50">
        <f>Inputs!M121</f>
        <v>330768.765625</v>
      </c>
    </row>
    <row r="22" spans="3:13" x14ac:dyDescent="0.3">
      <c r="C22" s="26" t="s">
        <v>62</v>
      </c>
    </row>
    <row r="23" spans="3:13" x14ac:dyDescent="0.3">
      <c r="D23" t="s">
        <v>55</v>
      </c>
      <c r="F23" s="25" t="s">
        <v>63</v>
      </c>
      <c r="I23" s="51">
        <f>Inputs!I131</f>
        <v>0.25</v>
      </c>
      <c r="J23" s="51">
        <f>Inputs!J131</f>
        <v>0.25</v>
      </c>
      <c r="K23" s="51">
        <f>Inputs!K131</f>
        <v>0.25</v>
      </c>
      <c r="L23" s="51">
        <f>Inputs!L131</f>
        <v>0.25</v>
      </c>
      <c r="M23" s="51">
        <f>Inputs!M131</f>
        <v>0.25</v>
      </c>
    </row>
    <row r="24" spans="3:13" x14ac:dyDescent="0.3">
      <c r="D24" t="s">
        <v>56</v>
      </c>
      <c r="F24" s="25" t="s">
        <v>63</v>
      </c>
      <c r="I24" s="51">
        <f>Inputs!I132</f>
        <v>0.2</v>
      </c>
      <c r="J24" s="51">
        <f>Inputs!J132</f>
        <v>0.2</v>
      </c>
      <c r="K24" s="51">
        <f>Inputs!K132</f>
        <v>0.2</v>
      </c>
      <c r="L24" s="51">
        <f>Inputs!L132</f>
        <v>0.2</v>
      </c>
      <c r="M24" s="51">
        <f>Inputs!M132</f>
        <v>0.2</v>
      </c>
    </row>
    <row r="25" spans="3:13" x14ac:dyDescent="0.3">
      <c r="D25" t="s">
        <v>58</v>
      </c>
      <c r="F25" s="25" t="s">
        <v>63</v>
      </c>
      <c r="I25" s="51">
        <f>Inputs!I133</f>
        <v>0.15</v>
      </c>
      <c r="J25" s="51">
        <f>Inputs!J133</f>
        <v>0.15</v>
      </c>
      <c r="K25" s="51">
        <f>Inputs!K133</f>
        <v>0.15</v>
      </c>
      <c r="L25" s="51">
        <f>Inputs!L133</f>
        <v>0.15</v>
      </c>
      <c r="M25" s="51">
        <f>Inputs!M133</f>
        <v>0.15</v>
      </c>
    </row>
    <row r="26" spans="3:13" x14ac:dyDescent="0.3">
      <c r="D26" t="s">
        <v>59</v>
      </c>
      <c r="F26" s="25" t="s">
        <v>63</v>
      </c>
      <c r="I26" s="51">
        <f>Inputs!I134</f>
        <v>0.1</v>
      </c>
      <c r="J26" s="51">
        <f>Inputs!J134</f>
        <v>0.1</v>
      </c>
      <c r="K26" s="51">
        <f>Inputs!K134</f>
        <v>0.1</v>
      </c>
      <c r="L26" s="51">
        <f>Inputs!L134</f>
        <v>0.1</v>
      </c>
      <c r="M26" s="51">
        <f>Inputs!M134</f>
        <v>0.1</v>
      </c>
    </row>
    <row r="27" spans="3:13" x14ac:dyDescent="0.3">
      <c r="D27" t="s">
        <v>60</v>
      </c>
      <c r="F27" s="25" t="s">
        <v>63</v>
      </c>
      <c r="I27" s="51">
        <f>Inputs!I135</f>
        <v>0.1</v>
      </c>
      <c r="J27" s="51">
        <f>Inputs!J135</f>
        <v>0.1</v>
      </c>
      <c r="K27" s="51">
        <f>Inputs!K135</f>
        <v>0.1</v>
      </c>
      <c r="L27" s="51">
        <f>Inputs!L135</f>
        <v>0.1</v>
      </c>
      <c r="M27" s="51">
        <f>Inputs!M135</f>
        <v>0.1</v>
      </c>
    </row>
    <row r="29" spans="3:13" x14ac:dyDescent="0.3">
      <c r="C29" s="26" t="s">
        <v>54</v>
      </c>
      <c r="I29" s="6"/>
    </row>
    <row r="30" spans="3:13" x14ac:dyDescent="0.3">
      <c r="D30" t="s">
        <v>55</v>
      </c>
      <c r="F30" s="25" t="s">
        <v>79</v>
      </c>
      <c r="I30" s="50">
        <f>(H8+I8)/2*I16*(1+I23)/10^6</f>
        <v>6.25</v>
      </c>
      <c r="J30" s="50">
        <f t="shared" ref="J30:M30" si="2">(I8+J8)/2*J16*(1+J23)/10^6</f>
        <v>16.796875</v>
      </c>
      <c r="K30" s="50">
        <f t="shared" si="2"/>
        <v>21.66796875</v>
      </c>
      <c r="L30" s="50">
        <f t="shared" si="2"/>
        <v>30.912968750000001</v>
      </c>
      <c r="M30" s="50">
        <f t="shared" si="2"/>
        <v>45.480705273437501</v>
      </c>
    </row>
    <row r="31" spans="3:13" x14ac:dyDescent="0.3">
      <c r="D31" t="s">
        <v>56</v>
      </c>
      <c r="F31" s="25" t="s">
        <v>79</v>
      </c>
      <c r="I31" s="50">
        <f t="shared" ref="I31:M31" si="3">(H9+I9)/2*I17*(1+I24)/10^6</f>
        <v>6.48</v>
      </c>
      <c r="J31" s="50">
        <f t="shared" si="3"/>
        <v>19.736999999999998</v>
      </c>
      <c r="K31" s="50">
        <f t="shared" si="3"/>
        <v>27.457650000000001</v>
      </c>
      <c r="L31" s="50">
        <f t="shared" si="3"/>
        <v>32.050566000000003</v>
      </c>
      <c r="M31" s="50">
        <f t="shared" si="3"/>
        <v>38.580868822500008</v>
      </c>
    </row>
    <row r="32" spans="3:13" x14ac:dyDescent="0.3">
      <c r="D32" t="s">
        <v>58</v>
      </c>
      <c r="F32" s="25" t="s">
        <v>79</v>
      </c>
      <c r="I32" s="50">
        <f t="shared" ref="I32:M32" si="4">(H10+I10)/2*I18*(1+I25)/10^6</f>
        <v>6.2099999999999991</v>
      </c>
      <c r="J32" s="50">
        <f t="shared" si="4"/>
        <v>19.285499999999999</v>
      </c>
      <c r="K32" s="50">
        <f t="shared" si="4"/>
        <v>28.705724999999997</v>
      </c>
      <c r="L32" s="50">
        <f t="shared" si="4"/>
        <v>32.421521624999997</v>
      </c>
      <c r="M32" s="50">
        <f t="shared" si="4"/>
        <v>37.429793518125003</v>
      </c>
    </row>
    <row r="33" spans="2:13" x14ac:dyDescent="0.3">
      <c r="D33" t="s">
        <v>59</v>
      </c>
      <c r="F33" s="25" t="s">
        <v>79</v>
      </c>
      <c r="I33" s="50">
        <f t="shared" ref="I33:M33" si="5">(H11+I11)/2*I19*(1+I26)/10^6</f>
        <v>4.95</v>
      </c>
      <c r="J33" s="50">
        <f t="shared" si="5"/>
        <v>14.781250000000002</v>
      </c>
      <c r="K33" s="50">
        <f t="shared" si="5"/>
        <v>21.927984375000001</v>
      </c>
      <c r="L33" s="50">
        <f t="shared" si="5"/>
        <v>27.543455156250005</v>
      </c>
      <c r="M33" s="50">
        <f t="shared" si="5"/>
        <v>33.109953439062501</v>
      </c>
    </row>
    <row r="34" spans="2:13" x14ac:dyDescent="0.3">
      <c r="D34" t="s">
        <v>60</v>
      </c>
      <c r="F34" s="25" t="s">
        <v>79</v>
      </c>
      <c r="I34" s="50">
        <f t="shared" ref="I34:M34" si="6">(H12+I12)/2*I20*(1+I27)/10^6</f>
        <v>3.0250000000000004</v>
      </c>
      <c r="J34" s="50">
        <f t="shared" si="6"/>
        <v>8.4253125000000004</v>
      </c>
      <c r="K34" s="50">
        <f t="shared" si="6"/>
        <v>11.758484375000002</v>
      </c>
      <c r="L34" s="50">
        <f t="shared" si="6"/>
        <v>14.111770234375001</v>
      </c>
      <c r="M34" s="50">
        <f t="shared" si="6"/>
        <v>16.736899540625004</v>
      </c>
    </row>
    <row r="35" spans="2:13" x14ac:dyDescent="0.3">
      <c r="D35" t="s">
        <v>9</v>
      </c>
      <c r="F35" s="25" t="s">
        <v>79</v>
      </c>
      <c r="I35" s="50">
        <f>SUM(I30:I34)</f>
        <v>26.914999999999999</v>
      </c>
      <c r="J35" s="50">
        <f>SUM(J30:J34)</f>
        <v>79.025937499999998</v>
      </c>
      <c r="K35" s="50">
        <f t="shared" ref="K35:M35" si="7">SUM(K30:K34)</f>
        <v>111.51781249999999</v>
      </c>
      <c r="L35" s="50">
        <f t="shared" si="7"/>
        <v>137.04028176562502</v>
      </c>
      <c r="M35" s="50">
        <f t="shared" si="7"/>
        <v>171.33822059375001</v>
      </c>
    </row>
    <row r="37" spans="2:13" ht="15.6" x14ac:dyDescent="0.3">
      <c r="B37" s="30" t="s">
        <v>64</v>
      </c>
      <c r="C37" s="31"/>
      <c r="D37" s="31"/>
      <c r="E37" s="31"/>
      <c r="F37" s="32"/>
      <c r="G37" s="31"/>
      <c r="H37" s="31"/>
      <c r="I37" s="31"/>
      <c r="J37" s="31"/>
      <c r="K37" s="31"/>
      <c r="L37" s="31"/>
      <c r="M37" s="33"/>
    </row>
    <row r="39" spans="2:13" x14ac:dyDescent="0.3">
      <c r="C39" t="s">
        <v>65</v>
      </c>
      <c r="F39" s="25" t="s">
        <v>66</v>
      </c>
      <c r="I39" s="50">
        <f>Inputs!I139</f>
        <v>4000</v>
      </c>
      <c r="J39" s="50">
        <f>Inputs!J139</f>
        <v>4000</v>
      </c>
      <c r="K39" s="50">
        <f>Inputs!K139</f>
        <v>5500</v>
      </c>
      <c r="L39" s="50">
        <f>Inputs!L139</f>
        <v>5500</v>
      </c>
      <c r="M39" s="50">
        <f>Inputs!M139</f>
        <v>7000</v>
      </c>
    </row>
    <row r="40" spans="2:13" x14ac:dyDescent="0.3">
      <c r="C40" t="s">
        <v>68</v>
      </c>
      <c r="F40" s="25" t="s">
        <v>17</v>
      </c>
      <c r="I40" s="50">
        <f>Inputs!I140</f>
        <v>700</v>
      </c>
      <c r="J40" s="50">
        <f>Inputs!J140</f>
        <v>749</v>
      </c>
      <c r="K40" s="50">
        <f>Inputs!K140</f>
        <v>801.43000000000006</v>
      </c>
      <c r="L40" s="50">
        <f>Inputs!L140</f>
        <v>857.53010000000006</v>
      </c>
      <c r="M40" s="50">
        <f>Inputs!M140</f>
        <v>917.55720700000006</v>
      </c>
    </row>
    <row r="41" spans="2:13" x14ac:dyDescent="0.3">
      <c r="C41" t="s">
        <v>117</v>
      </c>
      <c r="F41" s="25" t="s">
        <v>79</v>
      </c>
      <c r="I41" s="50">
        <f>I39*I40*12/10^6</f>
        <v>33.6</v>
      </c>
      <c r="J41" s="50">
        <f t="shared" ref="J41:M41" si="8">J39*J40*12/10^6</f>
        <v>35.951999999999998</v>
      </c>
      <c r="K41" s="50">
        <f t="shared" si="8"/>
        <v>52.894379999999998</v>
      </c>
      <c r="L41" s="50">
        <f t="shared" si="8"/>
        <v>56.596986600000008</v>
      </c>
      <c r="M41" s="50">
        <f t="shared" si="8"/>
        <v>77.074805388000001</v>
      </c>
    </row>
    <row r="42" spans="2:13" ht="14.4" customHeight="1" x14ac:dyDescent="0.3">
      <c r="E42" s="7"/>
    </row>
    <row r="43" spans="2:13" ht="15.6" x14ac:dyDescent="0.3">
      <c r="B43" s="30" t="s">
        <v>70</v>
      </c>
      <c r="C43" s="31"/>
      <c r="D43" s="31"/>
      <c r="E43" s="31"/>
      <c r="F43" s="32"/>
      <c r="G43" s="31"/>
      <c r="H43" s="31"/>
      <c r="I43" s="31"/>
      <c r="J43" s="31"/>
      <c r="K43" s="31"/>
      <c r="L43" s="31"/>
      <c r="M43" s="33"/>
    </row>
    <row r="45" spans="2:13" x14ac:dyDescent="0.3">
      <c r="C45" t="s">
        <v>69</v>
      </c>
      <c r="F45" s="25" t="s">
        <v>23</v>
      </c>
      <c r="I45" s="50">
        <f>Inputs!I145</f>
        <v>30</v>
      </c>
      <c r="J45" s="50">
        <f>Inputs!J145</f>
        <v>38</v>
      </c>
      <c r="K45" s="50">
        <f>Inputs!K145</f>
        <v>45</v>
      </c>
      <c r="L45" s="50">
        <f>Inputs!L145</f>
        <v>58</v>
      </c>
      <c r="M45" s="50">
        <f>Inputs!M145</f>
        <v>75</v>
      </c>
    </row>
    <row r="46" spans="2:13" x14ac:dyDescent="0.3">
      <c r="C46" t="s">
        <v>119</v>
      </c>
      <c r="F46" s="25" t="s">
        <v>17</v>
      </c>
      <c r="I46" s="50">
        <f>Inputs!I146</f>
        <v>30000</v>
      </c>
      <c r="J46" s="50">
        <f>Inputs!J146</f>
        <v>32400.000000000004</v>
      </c>
      <c r="K46" s="50">
        <f>Inputs!K146</f>
        <v>34992.000000000007</v>
      </c>
      <c r="L46" s="50">
        <f>Inputs!L146</f>
        <v>37791.360000000008</v>
      </c>
      <c r="M46" s="50">
        <f>Inputs!M146</f>
        <v>40814.668800000014</v>
      </c>
    </row>
    <row r="47" spans="2:13" x14ac:dyDescent="0.3">
      <c r="C47" t="s">
        <v>118</v>
      </c>
      <c r="F47" s="25" t="s">
        <v>79</v>
      </c>
      <c r="I47" s="50">
        <f>I45*I46*12/10^6</f>
        <v>10.8</v>
      </c>
      <c r="J47" s="50">
        <f t="shared" ref="J47:M47" si="9">J45*J46*12/10^6</f>
        <v>14.774400000000004</v>
      </c>
      <c r="K47" s="50">
        <f t="shared" si="9"/>
        <v>18.895680000000002</v>
      </c>
      <c r="L47" s="50">
        <f t="shared" si="9"/>
        <v>26.302786560000001</v>
      </c>
      <c r="M47" s="50">
        <f t="shared" si="9"/>
        <v>36.733201920000013</v>
      </c>
    </row>
    <row r="49" spans="2:13" ht="15.6" x14ac:dyDescent="0.3">
      <c r="B49" s="30" t="s">
        <v>71</v>
      </c>
      <c r="C49" s="31"/>
      <c r="D49" s="31"/>
      <c r="E49" s="31"/>
      <c r="F49" s="32"/>
      <c r="G49" s="31"/>
      <c r="H49" s="31"/>
      <c r="I49" s="31"/>
      <c r="J49" s="31"/>
      <c r="K49" s="31"/>
      <c r="L49" s="31"/>
      <c r="M49" s="33"/>
    </row>
    <row r="51" spans="2:13" x14ac:dyDescent="0.3">
      <c r="C51" t="s">
        <v>71</v>
      </c>
      <c r="F51" s="25" t="s">
        <v>79</v>
      </c>
      <c r="I51" s="50">
        <f>Inputs!I151/10^6</f>
        <v>5</v>
      </c>
      <c r="J51" s="50">
        <f>Inputs!J151/10^6</f>
        <v>5.4</v>
      </c>
      <c r="K51" s="50">
        <f>Inputs!K151/10^6</f>
        <v>5.8319999999999999</v>
      </c>
      <c r="L51" s="50">
        <f>Inputs!L151/10^6</f>
        <v>6.2985600000000002</v>
      </c>
      <c r="M51" s="50">
        <f>Inputs!M151/10^6</f>
        <v>6.8024448000000008</v>
      </c>
    </row>
    <row r="53" spans="2:13" ht="15.6" x14ac:dyDescent="0.3">
      <c r="B53" s="30" t="s">
        <v>42</v>
      </c>
      <c r="C53" s="31"/>
      <c r="D53" s="31"/>
      <c r="E53" s="31"/>
      <c r="F53" s="32"/>
      <c r="G53" s="31"/>
      <c r="H53" s="31"/>
      <c r="I53" s="31"/>
      <c r="J53" s="31"/>
      <c r="K53" s="31"/>
      <c r="L53" s="31"/>
      <c r="M53" s="33"/>
    </row>
    <row r="55" spans="2:13" ht="14.4" customHeight="1" x14ac:dyDescent="0.3">
      <c r="C55" s="26" t="s">
        <v>41</v>
      </c>
    </row>
    <row r="56" spans="2:13" ht="14.4" customHeight="1" x14ac:dyDescent="0.3">
      <c r="D56" t="s">
        <v>19</v>
      </c>
      <c r="F56" s="25" t="s">
        <v>79</v>
      </c>
      <c r="I56" s="50">
        <f>Income!I20</f>
        <v>250</v>
      </c>
      <c r="J56" s="50">
        <f>Income!J20</f>
        <v>460</v>
      </c>
      <c r="K56" s="50">
        <f>Income!K20</f>
        <v>721.28000000000009</v>
      </c>
      <c r="L56" s="50">
        <f>Income!L20</f>
        <v>982.74400000000026</v>
      </c>
      <c r="M56" s="50">
        <f>Income!M20</f>
        <v>1156.6896880000004</v>
      </c>
    </row>
    <row r="57" spans="2:13" ht="14.4" customHeight="1" x14ac:dyDescent="0.3">
      <c r="D57" t="s">
        <v>20</v>
      </c>
      <c r="F57" s="25" t="s">
        <v>79</v>
      </c>
      <c r="I57" s="50">
        <f>Income!I21</f>
        <v>75</v>
      </c>
      <c r="J57" s="50">
        <f>Income!J21</f>
        <v>129.375</v>
      </c>
      <c r="K57" s="50">
        <f>Income!K21</f>
        <v>202.86000000000004</v>
      </c>
      <c r="L57" s="50">
        <f>Income!L21</f>
        <v>298.33300000000014</v>
      </c>
      <c r="M57" s="50">
        <f>Income!M21</f>
        <v>351.51348960000013</v>
      </c>
    </row>
    <row r="58" spans="2:13" ht="14.4" customHeight="1" x14ac:dyDescent="0.3">
      <c r="D58" t="s">
        <v>21</v>
      </c>
      <c r="F58" s="25" t="s">
        <v>79</v>
      </c>
      <c r="I58" s="50">
        <f>Income!I22</f>
        <v>2100</v>
      </c>
      <c r="J58" s="50">
        <f>Income!J22</f>
        <v>4002</v>
      </c>
      <c r="K58" s="50">
        <f>Income!K22</f>
        <v>6491.52</v>
      </c>
      <c r="L58" s="50">
        <f>Income!L22</f>
        <v>8844.6959999999999</v>
      </c>
      <c r="M58" s="50">
        <f>Income!M22</f>
        <v>10905.931344000001</v>
      </c>
    </row>
    <row r="59" spans="2:13" ht="14.4" customHeight="1" x14ac:dyDescent="0.3">
      <c r="D59" t="s">
        <v>18</v>
      </c>
      <c r="F59" s="25" t="s">
        <v>79</v>
      </c>
      <c r="I59" s="50">
        <f>Income!I23</f>
        <v>48</v>
      </c>
      <c r="J59" s="50">
        <f>Income!J23</f>
        <v>71.759999999999991</v>
      </c>
      <c r="K59" s="50">
        <f>Income!K23</f>
        <v>92.736000000000004</v>
      </c>
      <c r="L59" s="50">
        <f>Income!L23</f>
        <v>113.436736</v>
      </c>
      <c r="M59" s="50">
        <f>Income!M23</f>
        <v>133.39486271999999</v>
      </c>
    </row>
    <row r="60" spans="2:13" ht="14.4" customHeight="1" x14ac:dyDescent="0.3">
      <c r="D60" t="s">
        <v>9</v>
      </c>
      <c r="F60" s="25" t="s">
        <v>79</v>
      </c>
      <c r="I60" s="50">
        <f>SUM(I56:I59)</f>
        <v>2473</v>
      </c>
      <c r="J60" s="50">
        <f t="shared" ref="J60:M60" si="10">SUM(J56:J59)</f>
        <v>4663.1350000000002</v>
      </c>
      <c r="K60" s="50">
        <f t="shared" si="10"/>
        <v>7508.3960000000006</v>
      </c>
      <c r="L60" s="50">
        <f t="shared" si="10"/>
        <v>10239.209736000001</v>
      </c>
      <c r="M60" s="50">
        <f t="shared" si="10"/>
        <v>12547.529384320002</v>
      </c>
    </row>
    <row r="61" spans="2:13" ht="14.4" customHeight="1" x14ac:dyDescent="0.3">
      <c r="J61" s="35"/>
      <c r="K61" s="35"/>
      <c r="L61" s="35"/>
      <c r="M61" s="35"/>
    </row>
    <row r="62" spans="2:13" ht="14.4" customHeight="1" x14ac:dyDescent="0.3">
      <c r="C62" s="26" t="s">
        <v>157</v>
      </c>
    </row>
    <row r="63" spans="2:13" ht="14.4" customHeight="1" x14ac:dyDescent="0.3">
      <c r="D63" t="s">
        <v>19</v>
      </c>
      <c r="F63" s="25" t="s">
        <v>0</v>
      </c>
      <c r="I63" s="51">
        <f>Inputs!I51</f>
        <v>0.01</v>
      </c>
      <c r="J63" s="51">
        <f>Inputs!J51</f>
        <v>0.01</v>
      </c>
      <c r="K63" s="51">
        <f>Inputs!K51</f>
        <v>0.01</v>
      </c>
      <c r="L63" s="51">
        <f>Inputs!L51</f>
        <v>0.01</v>
      </c>
      <c r="M63" s="51">
        <f>Inputs!M51</f>
        <v>0.01</v>
      </c>
    </row>
    <row r="64" spans="2:13" ht="14.4" customHeight="1" x14ac:dyDescent="0.3">
      <c r="D64" t="s">
        <v>20</v>
      </c>
      <c r="F64" s="25" t="s">
        <v>0</v>
      </c>
      <c r="I64" s="51">
        <f>Inputs!I52</f>
        <v>2.5000000000000001E-2</v>
      </c>
      <c r="J64" s="51">
        <f>Inputs!J52</f>
        <v>2.5000000000000001E-2</v>
      </c>
      <c r="K64" s="51">
        <f>Inputs!K52</f>
        <v>2.5000000000000001E-2</v>
      </c>
      <c r="L64" s="51">
        <f>Inputs!L52</f>
        <v>2.5000000000000001E-2</v>
      </c>
      <c r="M64" s="51">
        <f>Inputs!M52</f>
        <v>2.5000000000000001E-2</v>
      </c>
    </row>
    <row r="65" spans="2:13" ht="14.4" customHeight="1" x14ac:dyDescent="0.3">
      <c r="D65" t="s">
        <v>21</v>
      </c>
      <c r="F65" s="25" t="s">
        <v>0</v>
      </c>
      <c r="I65" s="51">
        <f>Inputs!I53</f>
        <v>0.02</v>
      </c>
      <c r="J65" s="51">
        <f>Inputs!J53</f>
        <v>0.02</v>
      </c>
      <c r="K65" s="51">
        <f>Inputs!K53</f>
        <v>0.02</v>
      </c>
      <c r="L65" s="51">
        <f>Inputs!L53</f>
        <v>0.02</v>
      </c>
      <c r="M65" s="51">
        <f>Inputs!M53</f>
        <v>0.02</v>
      </c>
    </row>
    <row r="66" spans="2:13" ht="14.4" customHeight="1" x14ac:dyDescent="0.3">
      <c r="D66" t="s">
        <v>18</v>
      </c>
      <c r="F66" s="25" t="s">
        <v>0</v>
      </c>
      <c r="I66" s="51">
        <f>Inputs!I54</f>
        <v>1.4999999999999999E-2</v>
      </c>
      <c r="J66" s="51">
        <f>Inputs!J54</f>
        <v>1.4999999999999999E-2</v>
      </c>
      <c r="K66" s="51">
        <f>Inputs!K54</f>
        <v>1.4999999999999999E-2</v>
      </c>
      <c r="L66" s="51">
        <f>Inputs!L54</f>
        <v>1.4999999999999999E-2</v>
      </c>
      <c r="M66" s="51">
        <f>Inputs!M54</f>
        <v>1.4999999999999999E-2</v>
      </c>
    </row>
    <row r="67" spans="2:13" ht="14.4" customHeight="1" x14ac:dyDescent="0.3">
      <c r="I67" s="46"/>
      <c r="J67" s="46"/>
      <c r="K67" s="46"/>
      <c r="L67" s="46"/>
      <c r="M67" s="46"/>
    </row>
    <row r="68" spans="2:13" ht="14.4" customHeight="1" x14ac:dyDescent="0.3">
      <c r="C68" s="26" t="s">
        <v>42</v>
      </c>
      <c r="J68" s="47"/>
      <c r="K68" s="47"/>
      <c r="L68" s="47"/>
      <c r="M68" s="47"/>
    </row>
    <row r="69" spans="2:13" ht="14.4" customHeight="1" x14ac:dyDescent="0.3">
      <c r="D69" t="s">
        <v>19</v>
      </c>
      <c r="F69" s="25" t="s">
        <v>79</v>
      </c>
      <c r="I69" s="50">
        <f t="shared" ref="I69:M72" si="11">I56*I63</f>
        <v>2.5</v>
      </c>
      <c r="J69" s="50">
        <f t="shared" si="11"/>
        <v>4.6000000000000005</v>
      </c>
      <c r="K69" s="50">
        <f t="shared" si="11"/>
        <v>7.2128000000000014</v>
      </c>
      <c r="L69" s="50">
        <f t="shared" si="11"/>
        <v>9.8274400000000028</v>
      </c>
      <c r="M69" s="50">
        <f t="shared" si="11"/>
        <v>11.566896880000003</v>
      </c>
    </row>
    <row r="70" spans="2:13" ht="14.4" customHeight="1" x14ac:dyDescent="0.3">
      <c r="D70" t="s">
        <v>20</v>
      </c>
      <c r="F70" s="25" t="s">
        <v>79</v>
      </c>
      <c r="I70" s="50">
        <f t="shared" si="11"/>
        <v>1.875</v>
      </c>
      <c r="J70" s="50">
        <f t="shared" si="11"/>
        <v>3.234375</v>
      </c>
      <c r="K70" s="50">
        <f t="shared" si="11"/>
        <v>5.0715000000000012</v>
      </c>
      <c r="L70" s="50">
        <f t="shared" si="11"/>
        <v>7.4583250000000039</v>
      </c>
      <c r="M70" s="50">
        <f t="shared" si="11"/>
        <v>8.7878372400000035</v>
      </c>
    </row>
    <row r="71" spans="2:13" ht="14.4" customHeight="1" x14ac:dyDescent="0.3">
      <c r="D71" t="s">
        <v>21</v>
      </c>
      <c r="F71" s="25" t="s">
        <v>79</v>
      </c>
      <c r="I71" s="50">
        <f t="shared" si="11"/>
        <v>42</v>
      </c>
      <c r="J71" s="50">
        <f t="shared" si="11"/>
        <v>80.040000000000006</v>
      </c>
      <c r="K71" s="50">
        <f t="shared" si="11"/>
        <v>129.8304</v>
      </c>
      <c r="L71" s="50">
        <f t="shared" si="11"/>
        <v>176.89392000000001</v>
      </c>
      <c r="M71" s="50">
        <f t="shared" si="11"/>
        <v>218.11862688000002</v>
      </c>
    </row>
    <row r="72" spans="2:13" ht="14.4" customHeight="1" x14ac:dyDescent="0.3">
      <c r="D72" t="s">
        <v>18</v>
      </c>
      <c r="F72" s="25" t="s">
        <v>79</v>
      </c>
      <c r="I72" s="50">
        <f t="shared" si="11"/>
        <v>0.72</v>
      </c>
      <c r="J72" s="50">
        <f t="shared" si="11"/>
        <v>1.0763999999999998</v>
      </c>
      <c r="K72" s="50">
        <f t="shared" si="11"/>
        <v>1.3910400000000001</v>
      </c>
      <c r="L72" s="50">
        <f t="shared" si="11"/>
        <v>1.7015510399999998</v>
      </c>
      <c r="M72" s="50">
        <f t="shared" si="11"/>
        <v>2.0009229407999998</v>
      </c>
    </row>
    <row r="73" spans="2:13" ht="14.4" customHeight="1" x14ac:dyDescent="0.3">
      <c r="D73" t="s">
        <v>197</v>
      </c>
      <c r="F73" s="25" t="s">
        <v>79</v>
      </c>
      <c r="I73" s="50">
        <f>SUM(I69:I72)</f>
        <v>47.094999999999999</v>
      </c>
      <c r="J73" s="50">
        <f t="shared" ref="J73:M73" si="12">SUM(J69:J72)</f>
        <v>88.950775000000007</v>
      </c>
      <c r="K73" s="50">
        <f t="shared" si="12"/>
        <v>143.50574</v>
      </c>
      <c r="L73" s="50">
        <f t="shared" si="12"/>
        <v>195.88123604</v>
      </c>
      <c r="M73" s="50">
        <f t="shared" si="12"/>
        <v>240.47428394080003</v>
      </c>
    </row>
    <row r="74" spans="2:13" ht="14.4" customHeight="1" x14ac:dyDescent="0.3">
      <c r="D74" t="s">
        <v>198</v>
      </c>
      <c r="F74" s="25" t="s">
        <v>79</v>
      </c>
      <c r="I74" s="50">
        <f t="shared" ref="I74" si="13">I73-H73</f>
        <v>47.094999999999999</v>
      </c>
      <c r="J74" s="50">
        <f>J73-I73</f>
        <v>41.855775000000008</v>
      </c>
      <c r="K74" s="50">
        <f t="shared" ref="K74:M74" si="14">K73-J73</f>
        <v>54.554964999999996</v>
      </c>
      <c r="L74" s="50">
        <f t="shared" si="14"/>
        <v>52.375496040000002</v>
      </c>
      <c r="M74" s="50">
        <f t="shared" si="14"/>
        <v>44.59304790080003</v>
      </c>
    </row>
    <row r="75" spans="2:13" ht="14.4" customHeight="1" x14ac:dyDescent="0.3">
      <c r="J75" s="35"/>
      <c r="K75" s="35"/>
      <c r="L75" s="35"/>
      <c r="M75" s="35"/>
    </row>
    <row r="76" spans="2:13" ht="14.4" customHeight="1" thickBot="1" x14ac:dyDescent="0.35">
      <c r="J76" s="35"/>
      <c r="K76" s="35"/>
      <c r="L76" s="35"/>
      <c r="M76" s="35"/>
    </row>
    <row r="77" spans="2:13" s="9" customFormat="1" x14ac:dyDescent="0.3">
      <c r="B77" s="8" t="s">
        <v>14</v>
      </c>
      <c r="C77" s="8"/>
    </row>
    <row r="79" spans="2:13" ht="14.4" customHeight="1" x14ac:dyDescent="0.3">
      <c r="F79"/>
    </row>
    <row r="80" spans="2:13" ht="14.4" customHeight="1" x14ac:dyDescent="0.3">
      <c r="F80"/>
    </row>
    <row r="81" spans="6:6" ht="14.4" customHeight="1" x14ac:dyDescent="0.3">
      <c r="F81"/>
    </row>
    <row r="82" spans="6:6" ht="14.4" customHeight="1" x14ac:dyDescent="0.3">
      <c r="F82"/>
    </row>
    <row r="83" spans="6:6" ht="14.4" customHeight="1" x14ac:dyDescent="0.3">
      <c r="F83"/>
    </row>
    <row r="84" spans="6:6" ht="14.4" customHeight="1" x14ac:dyDescent="0.3">
      <c r="F84"/>
    </row>
    <row r="85" spans="6:6" ht="14.4" customHeight="1" x14ac:dyDescent="0.3">
      <c r="F85"/>
    </row>
    <row r="86" spans="6:6" ht="14.4" customHeight="1" x14ac:dyDescent="0.3">
      <c r="F86"/>
    </row>
    <row r="87" spans="6:6" ht="14.4" customHeight="1" x14ac:dyDescent="0.3">
      <c r="F87"/>
    </row>
    <row r="88" spans="6:6" ht="14.4" customHeight="1" x14ac:dyDescent="0.3">
      <c r="F8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4D29-61C3-4FFA-9DD5-DEF0381358AF}">
  <sheetPr codeName="Sheet8"/>
  <dimension ref="A1:AI58"/>
  <sheetViews>
    <sheetView showGridLines="0" zoomScale="87" zoomScaleNormal="100" workbookViewId="0">
      <pane xSplit="8" ySplit="3" topLeftCell="I37" activePane="bottomRight" state="frozen"/>
      <selection pane="topRight" activeCell="G1" sqref="G1"/>
      <selection pane="bottomLeft" activeCell="A4" sqref="A4"/>
      <selection pane="bottomRight" activeCell="H43" sqref="H43"/>
    </sheetView>
  </sheetViews>
  <sheetFormatPr defaultColWidth="0" defaultRowHeight="14.4" customHeight="1" x14ac:dyDescent="0.3"/>
  <cols>
    <col min="1" max="4" width="3.21875" customWidth="1"/>
    <col min="5" max="5" width="39.5546875" customWidth="1"/>
    <col min="6" max="6" width="9.88671875" style="25" bestFit="1" customWidth="1"/>
    <col min="7" max="7" width="8.88671875" customWidth="1"/>
    <col min="8" max="8" width="34.664062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86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5.6" x14ac:dyDescent="0.3">
      <c r="B5" s="30" t="s">
        <v>88</v>
      </c>
      <c r="C5" s="31"/>
      <c r="D5" s="31"/>
      <c r="E5" s="31"/>
      <c r="F5" s="32"/>
      <c r="G5" s="31"/>
      <c r="H5" s="31"/>
      <c r="I5" s="31"/>
      <c r="J5" s="31"/>
      <c r="K5" s="31"/>
      <c r="L5" s="31"/>
      <c r="M5" s="33"/>
    </row>
    <row r="6" spans="2:35" ht="14.4" customHeight="1" x14ac:dyDescent="0.3">
      <c r="B6" s="36"/>
    </row>
    <row r="8" spans="2:35" x14ac:dyDescent="0.3">
      <c r="C8" s="26" t="s">
        <v>102</v>
      </c>
    </row>
    <row r="9" spans="2:35" x14ac:dyDescent="0.3">
      <c r="D9" t="s">
        <v>90</v>
      </c>
      <c r="F9" s="25" t="s">
        <v>0</v>
      </c>
      <c r="I9" s="51">
        <f>Inputs!I10</f>
        <v>0.12</v>
      </c>
      <c r="J9" s="51">
        <f>Inputs!J10</f>
        <v>0.12</v>
      </c>
      <c r="K9" s="51">
        <f>Inputs!K10</f>
        <v>0.12</v>
      </c>
      <c r="L9" s="51">
        <f>Inputs!L10</f>
        <v>0.12</v>
      </c>
      <c r="M9" s="51">
        <f>Inputs!M10</f>
        <v>0.12</v>
      </c>
    </row>
    <row r="10" spans="2:35" x14ac:dyDescent="0.3">
      <c r="C10" s="26"/>
      <c r="D10" t="s">
        <v>92</v>
      </c>
      <c r="F10" s="25" t="s">
        <v>0</v>
      </c>
      <c r="I10" s="51">
        <f>Inputs!I11</f>
        <v>0.9</v>
      </c>
      <c r="J10" s="51">
        <f>Inputs!J11</f>
        <v>0.9</v>
      </c>
      <c r="K10" s="51">
        <f>Inputs!K11</f>
        <v>0.85</v>
      </c>
      <c r="L10" s="51">
        <f>Inputs!L11</f>
        <v>0.85</v>
      </c>
      <c r="M10" s="51">
        <f>Inputs!M11</f>
        <v>0.8</v>
      </c>
    </row>
    <row r="11" spans="2:35" x14ac:dyDescent="0.3">
      <c r="C11" s="26"/>
      <c r="D11" t="s">
        <v>93</v>
      </c>
      <c r="F11" s="25" t="s">
        <v>0</v>
      </c>
      <c r="I11" s="51">
        <f>Inputs!I12</f>
        <v>1</v>
      </c>
      <c r="J11" s="51">
        <f>Inputs!J12</f>
        <v>1</v>
      </c>
      <c r="K11" s="51">
        <f>Inputs!K12</f>
        <v>1</v>
      </c>
      <c r="L11" s="51">
        <f>Inputs!L12</f>
        <v>1</v>
      </c>
      <c r="M11" s="51">
        <f>Inputs!M12</f>
        <v>1</v>
      </c>
    </row>
    <row r="12" spans="2:35" x14ac:dyDescent="0.3">
      <c r="C12" s="26"/>
      <c r="D12" t="s">
        <v>94</v>
      </c>
      <c r="F12" s="25" t="s">
        <v>0</v>
      </c>
      <c r="I12" s="51">
        <f>Inputs!I13</f>
        <v>0.1</v>
      </c>
      <c r="J12" s="51">
        <f>Inputs!J13</f>
        <v>0.1</v>
      </c>
      <c r="K12" s="51">
        <f>Inputs!K13</f>
        <v>0.1</v>
      </c>
      <c r="L12" s="51">
        <f>Inputs!L13</f>
        <v>0.1</v>
      </c>
      <c r="M12" s="51">
        <f>Inputs!M13</f>
        <v>0.1</v>
      </c>
    </row>
    <row r="13" spans="2:35" x14ac:dyDescent="0.3">
      <c r="C13" s="26"/>
      <c r="D13" t="s">
        <v>95</v>
      </c>
      <c r="F13" s="25" t="s">
        <v>0</v>
      </c>
      <c r="I13" s="51">
        <f>Inputs!I14</f>
        <v>0.15</v>
      </c>
      <c r="J13" s="51">
        <f>Inputs!J14</f>
        <v>0.15</v>
      </c>
      <c r="K13" s="51">
        <f>Inputs!K14</f>
        <v>0.15</v>
      </c>
      <c r="L13" s="51">
        <f>Inputs!L14</f>
        <v>0.15</v>
      </c>
      <c r="M13" s="51">
        <f>Inputs!M14</f>
        <v>0.15</v>
      </c>
    </row>
    <row r="14" spans="2:35" x14ac:dyDescent="0.3">
      <c r="C14" s="26"/>
      <c r="D14" t="s">
        <v>96</v>
      </c>
      <c r="F14" s="25" t="s">
        <v>23</v>
      </c>
      <c r="I14" s="52">
        <f>Inputs!I15</f>
        <v>12.5</v>
      </c>
      <c r="J14" s="52">
        <f>Inputs!J15</f>
        <v>12.5</v>
      </c>
      <c r="K14" s="52">
        <f>Inputs!K15</f>
        <v>12.5</v>
      </c>
      <c r="L14" s="52">
        <f>Inputs!L15</f>
        <v>12.5</v>
      </c>
      <c r="M14" s="52">
        <f>Inputs!M15</f>
        <v>12.5</v>
      </c>
    </row>
    <row r="15" spans="2:35" x14ac:dyDescent="0.3">
      <c r="C15" s="26"/>
    </row>
    <row r="16" spans="2:35" x14ac:dyDescent="0.3">
      <c r="C16" s="26" t="s">
        <v>103</v>
      </c>
      <c r="K16" s="6"/>
    </row>
    <row r="17" spans="3:13" x14ac:dyDescent="0.3">
      <c r="C17" s="26"/>
      <c r="D17" t="s">
        <v>105</v>
      </c>
      <c r="F17" s="25" t="s">
        <v>79</v>
      </c>
      <c r="I17" s="50">
        <f>SUM(Income!I20:I23)</f>
        <v>2473</v>
      </c>
      <c r="J17" s="50">
        <f>SUM(Income!J20:J23)</f>
        <v>4663.1350000000002</v>
      </c>
      <c r="K17" s="50">
        <f>SUM(Income!K20:K23)</f>
        <v>7508.3960000000006</v>
      </c>
      <c r="L17" s="50">
        <f>SUM(Income!L20:L23)</f>
        <v>10239.209736000001</v>
      </c>
      <c r="M17" s="50">
        <f>SUM(Income!M20:M23)</f>
        <v>12547.529384320002</v>
      </c>
    </row>
    <row r="18" spans="3:13" x14ac:dyDescent="0.3">
      <c r="C18" s="26"/>
      <c r="D18" t="s">
        <v>99</v>
      </c>
      <c r="F18" s="25" t="s">
        <v>79</v>
      </c>
      <c r="I18" s="50">
        <f ca="1">'Fixed Assets'!I32</f>
        <v>242.57142857142856</v>
      </c>
      <c r="J18" s="50">
        <f ca="1">'Fixed Assets'!J32</f>
        <v>255.85714285714283</v>
      </c>
      <c r="K18" s="50">
        <f ca="1">'Fixed Assets'!K32</f>
        <v>275.71428571428567</v>
      </c>
      <c r="L18" s="50">
        <f ca="1">'Fixed Assets'!L32</f>
        <v>302</v>
      </c>
      <c r="M18" s="50">
        <f ca="1">'Fixed Assets'!M32</f>
        <v>350.14285714285711</v>
      </c>
    </row>
    <row r="19" spans="3:13" x14ac:dyDescent="0.3">
      <c r="C19" s="26"/>
      <c r="D19" t="s">
        <v>104</v>
      </c>
      <c r="F19" s="25" t="s">
        <v>79</v>
      </c>
      <c r="I19" s="50">
        <f ca="1">Income!I44-'Interest Exp'!I39</f>
        <v>64.549434804655121</v>
      </c>
      <c r="J19" s="50">
        <f ca="1">Income!J44-'Interest Exp'!J39</f>
        <v>174.47641600825932</v>
      </c>
      <c r="K19" s="50">
        <f ca="1">Income!K44-'Interest Exp'!K39</f>
        <v>279.53395982134549</v>
      </c>
      <c r="L19" s="50">
        <f ca="1">Income!L44-'Interest Exp'!L39</f>
        <v>397.68757064524266</v>
      </c>
      <c r="M19" s="50">
        <f ca="1">Income!M44-'Interest Exp'!M39</f>
        <v>502.34206324736499</v>
      </c>
    </row>
    <row r="20" spans="3:13" x14ac:dyDescent="0.3">
      <c r="C20" s="26"/>
      <c r="D20" t="s">
        <v>24</v>
      </c>
      <c r="F20" s="25" t="s">
        <v>79</v>
      </c>
      <c r="I20" s="50">
        <f>Income!I64</f>
        <v>116.5</v>
      </c>
      <c r="J20" s="50">
        <f>Income!J64</f>
        <v>169.3125</v>
      </c>
      <c r="K20" s="50">
        <f>Income!K64</f>
        <v>227.11500000000001</v>
      </c>
      <c r="L20" s="50">
        <f>Income!L64</f>
        <v>295.88895000000002</v>
      </c>
      <c r="M20" s="50">
        <f>Income!M64</f>
        <v>370.18242843750005</v>
      </c>
    </row>
    <row r="21" spans="3:13" x14ac:dyDescent="0.3">
      <c r="C21" s="26"/>
      <c r="D21" t="s">
        <v>100</v>
      </c>
      <c r="F21" s="25" t="s">
        <v>79</v>
      </c>
      <c r="I21" s="50">
        <f t="shared" ref="I21:M21" ca="1" si="1">I19+I20</f>
        <v>181.04943480465511</v>
      </c>
      <c r="J21" s="50">
        <f t="shared" ca="1" si="1"/>
        <v>343.78891600825932</v>
      </c>
      <c r="K21" s="50">
        <f t="shared" ca="1" si="1"/>
        <v>506.6489598213455</v>
      </c>
      <c r="L21" s="50">
        <f t="shared" ca="1" si="1"/>
        <v>693.57652064524268</v>
      </c>
      <c r="M21" s="50">
        <f t="shared" ca="1" si="1"/>
        <v>872.5244916848651</v>
      </c>
    </row>
    <row r="22" spans="3:13" x14ac:dyDescent="0.3">
      <c r="C22" s="26"/>
      <c r="D22" t="s">
        <v>101</v>
      </c>
      <c r="F22" s="25" t="s">
        <v>79</v>
      </c>
      <c r="I22" s="50">
        <f t="shared" ref="I22:J22" ca="1" si="2">AVERAGE(OFFSET(I21,0,0,1,-MIN(3,I3)))</f>
        <v>181.04943480465511</v>
      </c>
      <c r="J22" s="50">
        <f t="shared" ca="1" si="2"/>
        <v>262.41917540645721</v>
      </c>
      <c r="K22" s="50">
        <f ca="1">AVERAGE(OFFSET(K21,0,0,1,-MIN(3,K3)))</f>
        <v>343.82910354475331</v>
      </c>
      <c r="L22" s="50">
        <f t="shared" ref="L22:M22" ca="1" si="3">AVERAGE(OFFSET(L21,0,0,1,-MIN(3,L3)))</f>
        <v>514.67146549161578</v>
      </c>
      <c r="M22" s="50">
        <f t="shared" ca="1" si="3"/>
        <v>690.91665738381778</v>
      </c>
    </row>
    <row r="23" spans="3:13" x14ac:dyDescent="0.3">
      <c r="C23" s="26"/>
      <c r="D23" t="s">
        <v>109</v>
      </c>
      <c r="F23" s="25" t="s">
        <v>79</v>
      </c>
      <c r="I23" s="50">
        <f ca="1">I17*I10+I18*I11</f>
        <v>2468.2714285714287</v>
      </c>
      <c r="J23" s="50">
        <f t="shared" ref="J23:M23" ca="1" si="4">J17*J10+J18*J11</f>
        <v>4452.6786428571431</v>
      </c>
      <c r="K23" s="50">
        <f t="shared" ca="1" si="4"/>
        <v>6657.8508857142861</v>
      </c>
      <c r="L23" s="50">
        <f t="shared" ca="1" si="4"/>
        <v>9005.3282756000008</v>
      </c>
      <c r="M23" s="50">
        <f t="shared" ca="1" si="4"/>
        <v>10388.166364598859</v>
      </c>
    </row>
    <row r="24" spans="3:13" x14ac:dyDescent="0.3">
      <c r="C24" s="26"/>
      <c r="D24" t="s">
        <v>106</v>
      </c>
      <c r="F24" s="25" t="s">
        <v>79</v>
      </c>
      <c r="I24" s="50">
        <f ca="1">I23*I12</f>
        <v>246.82714285714289</v>
      </c>
      <c r="J24" s="50">
        <f t="shared" ref="J24:M24" ca="1" si="5">J23*J12</f>
        <v>445.26786428571432</v>
      </c>
      <c r="K24" s="50">
        <f t="shared" ca="1" si="5"/>
        <v>665.78508857142867</v>
      </c>
      <c r="L24" s="50">
        <f t="shared" ca="1" si="5"/>
        <v>900.5328275600001</v>
      </c>
      <c r="M24" s="50">
        <f t="shared" ca="1" si="5"/>
        <v>1038.816636459886</v>
      </c>
    </row>
    <row r="25" spans="3:13" x14ac:dyDescent="0.3">
      <c r="C25" s="26"/>
      <c r="D25" t="s">
        <v>107</v>
      </c>
      <c r="F25" s="25" t="s">
        <v>79</v>
      </c>
      <c r="I25" s="50">
        <f ca="1">I22*I13*I14</f>
        <v>339.46769025872834</v>
      </c>
      <c r="J25" s="50">
        <f t="shared" ref="J25:M25" ca="1" si="6">J22*J13*J14</f>
        <v>492.03595388710727</v>
      </c>
      <c r="K25" s="50">
        <f t="shared" ca="1" si="6"/>
        <v>644.6795691464124</v>
      </c>
      <c r="L25" s="50">
        <f t="shared" ca="1" si="6"/>
        <v>965.00899779677957</v>
      </c>
      <c r="M25" s="50">
        <f t="shared" ca="1" si="6"/>
        <v>1295.4687325946584</v>
      </c>
    </row>
    <row r="26" spans="3:13" s="6" customFormat="1" x14ac:dyDescent="0.3">
      <c r="C26" s="55"/>
      <c r="D26" s="6" t="s">
        <v>108</v>
      </c>
      <c r="F26" s="41" t="s">
        <v>79</v>
      </c>
      <c r="H26"/>
      <c r="I26" s="53">
        <f t="shared" ref="I26:M26" ca="1" si="7">SUM(I23:I25)</f>
        <v>3054.5662616873001</v>
      </c>
      <c r="J26" s="53">
        <f t="shared" ca="1" si="7"/>
        <v>5389.9824610299647</v>
      </c>
      <c r="K26" s="53">
        <f t="shared" ca="1" si="7"/>
        <v>7968.315543432127</v>
      </c>
      <c r="L26" s="53">
        <f t="shared" ca="1" si="7"/>
        <v>10870.870100956781</v>
      </c>
      <c r="M26" s="53">
        <f t="shared" ca="1" si="7"/>
        <v>12722.451733653403</v>
      </c>
    </row>
    <row r="27" spans="3:13" x14ac:dyDescent="0.3">
      <c r="C27" s="26"/>
      <c r="D27" t="s">
        <v>110</v>
      </c>
      <c r="F27" s="25" t="s">
        <v>79</v>
      </c>
      <c r="I27" s="50">
        <f ca="1">I48+I54</f>
        <v>453.90814753206274</v>
      </c>
      <c r="J27" s="50">
        <f t="shared" ref="J27:M27" ca="1" si="8">J48+J54</f>
        <v>646.79789532359575</v>
      </c>
      <c r="K27" s="50">
        <f t="shared" ca="1" si="8"/>
        <v>956.19786521185529</v>
      </c>
      <c r="L27" s="50">
        <f t="shared" ca="1" si="8"/>
        <v>1304.5044121148135</v>
      </c>
      <c r="M27" s="50">
        <f t="shared" ca="1" si="8"/>
        <v>1600.0986332836928</v>
      </c>
    </row>
    <row r="28" spans="3:13" ht="14.4" customHeight="1" x14ac:dyDescent="0.3">
      <c r="D28" t="str">
        <f>B5</f>
        <v>Capital Adequacy Ratio  (CAR)</v>
      </c>
      <c r="F28" s="25" t="s">
        <v>0</v>
      </c>
      <c r="I28" s="51">
        <f ca="1">I27/I26</f>
        <v>0.14859986939072986</v>
      </c>
      <c r="J28" s="51">
        <f t="shared" ref="J28:M28" ca="1" si="9">J27/J26</f>
        <v>0.12</v>
      </c>
      <c r="K28" s="51">
        <f t="shared" ca="1" si="9"/>
        <v>0.12000000000000001</v>
      </c>
      <c r="L28" s="51">
        <f t="shared" ca="1" si="9"/>
        <v>0.11999999999999998</v>
      </c>
      <c r="M28" s="51">
        <f t="shared" ca="1" si="9"/>
        <v>0.12576967606417522</v>
      </c>
    </row>
    <row r="29" spans="3:13" x14ac:dyDescent="0.3">
      <c r="K29" s="35"/>
    </row>
    <row r="30" spans="3:13" s="10" customFormat="1" x14ac:dyDescent="0.3">
      <c r="C30" s="38"/>
    </row>
    <row r="31" spans="3:13" s="10" customFormat="1" x14ac:dyDescent="0.3">
      <c r="C31" s="38"/>
    </row>
    <row r="32" spans="3:13" s="10" customFormat="1" x14ac:dyDescent="0.3">
      <c r="C32" s="38"/>
    </row>
    <row r="33" spans="2:13" s="10" customFormat="1" x14ac:dyDescent="0.3">
      <c r="C33" s="38"/>
    </row>
    <row r="34" spans="2:13" x14ac:dyDescent="0.3">
      <c r="F34"/>
    </row>
    <row r="36" spans="2:13" ht="15.6" x14ac:dyDescent="0.3">
      <c r="B36" s="30" t="s">
        <v>159</v>
      </c>
      <c r="C36" s="31"/>
      <c r="D36" s="31"/>
      <c r="E36" s="31"/>
      <c r="F36" s="32"/>
      <c r="G36" s="31"/>
      <c r="H36" s="31"/>
      <c r="I36" s="31"/>
      <c r="J36" s="31"/>
      <c r="K36" s="31"/>
      <c r="L36" s="31"/>
      <c r="M36" s="33"/>
    </row>
    <row r="38" spans="2:13" ht="14.4" customHeight="1" x14ac:dyDescent="0.3">
      <c r="C38" s="26" t="s">
        <v>161</v>
      </c>
    </row>
    <row r="39" spans="2:13" ht="14.4" customHeight="1" x14ac:dyDescent="0.3">
      <c r="D39" t="s">
        <v>108</v>
      </c>
      <c r="F39" s="25" t="s">
        <v>79</v>
      </c>
      <c r="I39" s="50">
        <f ca="1">I26</f>
        <v>3054.5662616873001</v>
      </c>
      <c r="J39" s="50">
        <f t="shared" ref="J39:M39" ca="1" si="10">J26</f>
        <v>5389.9824610299647</v>
      </c>
      <c r="K39" s="50">
        <f t="shared" ca="1" si="10"/>
        <v>7968.315543432127</v>
      </c>
      <c r="L39" s="50">
        <f t="shared" ca="1" si="10"/>
        <v>10870.870100956781</v>
      </c>
      <c r="M39" s="50">
        <f t="shared" ca="1" si="10"/>
        <v>12722.451733653403</v>
      </c>
    </row>
    <row r="40" spans="2:13" ht="14.4" customHeight="1" x14ac:dyDescent="0.3">
      <c r="D40" t="s">
        <v>90</v>
      </c>
      <c r="F40" s="25" t="s">
        <v>0</v>
      </c>
      <c r="I40" s="51">
        <f t="shared" ref="I40:M40" si="11">I9</f>
        <v>0.12</v>
      </c>
      <c r="J40" s="51">
        <f t="shared" si="11"/>
        <v>0.12</v>
      </c>
      <c r="K40" s="51">
        <f t="shared" si="11"/>
        <v>0.12</v>
      </c>
      <c r="L40" s="51">
        <f t="shared" si="11"/>
        <v>0.12</v>
      </c>
      <c r="M40" s="51">
        <f t="shared" si="11"/>
        <v>0.12</v>
      </c>
    </row>
    <row r="41" spans="2:13" ht="14.4" customHeight="1" x14ac:dyDescent="0.3">
      <c r="D41" t="s">
        <v>163</v>
      </c>
      <c r="F41" s="25" t="s">
        <v>79</v>
      </c>
      <c r="I41" s="50">
        <f t="shared" ref="I41:M41" ca="1" si="12">I39*I40</f>
        <v>366.54795140247597</v>
      </c>
      <c r="J41" s="50">
        <f t="shared" ca="1" si="12"/>
        <v>646.79789532359575</v>
      </c>
      <c r="K41" s="50">
        <f t="shared" ca="1" si="12"/>
        <v>956.19786521185517</v>
      </c>
      <c r="L41" s="50">
        <f t="shared" ca="1" si="12"/>
        <v>1304.5044121148137</v>
      </c>
      <c r="M41" s="50">
        <f t="shared" ca="1" si="12"/>
        <v>1526.6942080384083</v>
      </c>
    </row>
    <row r="42" spans="2:13" ht="14.4" customHeight="1" x14ac:dyDescent="0.3">
      <c r="D42" t="s">
        <v>164</v>
      </c>
      <c r="F42" s="25" t="s">
        <v>79</v>
      </c>
      <c r="I42" s="50">
        <f t="shared" ref="I42:M42" ca="1" si="13">I48+I51+I52</f>
        <v>453.90814753206274</v>
      </c>
      <c r="J42" s="50">
        <f t="shared" ca="1" si="13"/>
        <v>528.9580358775429</v>
      </c>
      <c r="K42" s="50">
        <f t="shared" ca="1" si="13"/>
        <v>780.1563442074621</v>
      </c>
      <c r="L42" s="50">
        <f t="shared" ca="1" si="13"/>
        <v>1185.883958185854</v>
      </c>
      <c r="M42" s="50">
        <f t="shared" ca="1" si="13"/>
        <v>1600.0986332836928</v>
      </c>
    </row>
    <row r="43" spans="2:13" ht="14.4" customHeight="1" x14ac:dyDescent="0.3">
      <c r="D43" t="s">
        <v>165</v>
      </c>
      <c r="F43" s="25" t="s">
        <v>79</v>
      </c>
      <c r="I43" s="50">
        <f ca="1">MAX(I41-I42,0)</f>
        <v>0</v>
      </c>
      <c r="J43" s="50">
        <f ca="1">MAX(J41-J42,0)</f>
        <v>117.83985944605286</v>
      </c>
      <c r="K43" s="50">
        <f t="shared" ref="K43:M43" ca="1" si="14">MAX(K41-K42,0)</f>
        <v>176.04152100439308</v>
      </c>
      <c r="L43" s="50">
        <f t="shared" ca="1" si="14"/>
        <v>118.62045392895971</v>
      </c>
      <c r="M43" s="50">
        <f t="shared" ca="1" si="14"/>
        <v>0</v>
      </c>
    </row>
    <row r="44" spans="2:13" ht="14.4" customHeight="1" x14ac:dyDescent="0.3">
      <c r="I44" s="43"/>
      <c r="J44" s="43"/>
      <c r="K44" s="43"/>
      <c r="L44" s="43"/>
      <c r="M44" s="43"/>
    </row>
    <row r="45" spans="2:13" ht="14.4" customHeight="1" x14ac:dyDescent="0.3">
      <c r="C45" s="26" t="s">
        <v>141</v>
      </c>
    </row>
    <row r="46" spans="2:13" ht="14.4" customHeight="1" x14ac:dyDescent="0.3">
      <c r="D46" t="s">
        <v>6</v>
      </c>
      <c r="F46" s="25" t="s">
        <v>79</v>
      </c>
      <c r="I46" s="39"/>
      <c r="J46" s="50">
        <f ca="1">I48</f>
        <v>3.908147532062749</v>
      </c>
      <c r="K46" s="50">
        <f t="shared" ref="K46:M46" ca="1" si="15">J48</f>
        <v>78.958035877542926</v>
      </c>
      <c r="L46" s="50">
        <f t="shared" ca="1" si="15"/>
        <v>212.31648476140921</v>
      </c>
      <c r="M46" s="50">
        <f t="shared" ca="1" si="15"/>
        <v>442.00257773540807</v>
      </c>
    </row>
    <row r="47" spans="2:13" ht="14.4" customHeight="1" x14ac:dyDescent="0.3">
      <c r="D47" t="s">
        <v>162</v>
      </c>
      <c r="F47" s="25" t="s">
        <v>79</v>
      </c>
      <c r="I47" s="50">
        <f ca="1">'Inc St'!I26</f>
        <v>3.908147532062749</v>
      </c>
      <c r="J47" s="50">
        <f ca="1">'Inc St'!J26</f>
        <v>75.049888345480184</v>
      </c>
      <c r="K47" s="50">
        <f ca="1">'Inc St'!K26</f>
        <v>133.35844888386623</v>
      </c>
      <c r="L47" s="50">
        <f ca="1">'Inc St'!L26</f>
        <v>229.68609297399888</v>
      </c>
      <c r="M47" s="50">
        <f ca="1">'Inc St'!M26</f>
        <v>295.59422116887919</v>
      </c>
    </row>
    <row r="48" spans="2:13" ht="14.4" customHeight="1" x14ac:dyDescent="0.3">
      <c r="D48" t="s">
        <v>7</v>
      </c>
      <c r="F48" s="25" t="s">
        <v>79</v>
      </c>
      <c r="I48" s="50">
        <f ca="1">SUM(I46:I47)</f>
        <v>3.908147532062749</v>
      </c>
      <c r="J48" s="50">
        <f t="shared" ref="J48:M48" ca="1" si="16">SUM(J46:J47)</f>
        <v>78.958035877542926</v>
      </c>
      <c r="K48" s="50">
        <f t="shared" ca="1" si="16"/>
        <v>212.31648476140916</v>
      </c>
      <c r="L48" s="50">
        <f t="shared" ca="1" si="16"/>
        <v>442.00257773540807</v>
      </c>
      <c r="M48" s="50">
        <f t="shared" ca="1" si="16"/>
        <v>737.5967989042872</v>
      </c>
    </row>
    <row r="50" spans="2:13" ht="14.4" customHeight="1" x14ac:dyDescent="0.3">
      <c r="C50" s="26" t="s">
        <v>159</v>
      </c>
    </row>
    <row r="51" spans="2:13" ht="14.4" customHeight="1" x14ac:dyDescent="0.3">
      <c r="D51" t="s">
        <v>6</v>
      </c>
      <c r="F51" s="25" t="s">
        <v>79</v>
      </c>
      <c r="I51" s="39"/>
      <c r="J51" s="50">
        <f ca="1">I54</f>
        <v>450</v>
      </c>
      <c r="K51" s="50">
        <f t="shared" ref="K51:M51" ca="1" si="17">J54</f>
        <v>567.83985944605286</v>
      </c>
      <c r="L51" s="50">
        <f t="shared" ca="1" si="17"/>
        <v>743.88138045044604</v>
      </c>
      <c r="M51" s="50">
        <f t="shared" ca="1" si="17"/>
        <v>862.50183437940541</v>
      </c>
    </row>
    <row r="52" spans="2:13" ht="14.4" customHeight="1" x14ac:dyDescent="0.3">
      <c r="D52" t="s">
        <v>16</v>
      </c>
      <c r="F52" s="25" t="s">
        <v>79</v>
      </c>
      <c r="I52" s="50">
        <f>Inputs!I7/10^6</f>
        <v>450</v>
      </c>
      <c r="J52" s="50">
        <f>Inputs!J7/10^6</f>
        <v>0</v>
      </c>
      <c r="K52" s="50">
        <f>Inputs!K7/10^6</f>
        <v>0</v>
      </c>
      <c r="L52" s="50">
        <f>Inputs!L7/10^6</f>
        <v>0</v>
      </c>
      <c r="M52" s="50">
        <f>Inputs!M7/10^6</f>
        <v>0</v>
      </c>
    </row>
    <row r="53" spans="2:13" ht="14.4" customHeight="1" x14ac:dyDescent="0.3">
      <c r="D53" t="s">
        <v>160</v>
      </c>
      <c r="I53" s="50">
        <f t="shared" ref="I53:M53" ca="1" si="18">I43</f>
        <v>0</v>
      </c>
      <c r="J53" s="50">
        <f t="shared" ca="1" si="18"/>
        <v>117.83985944605286</v>
      </c>
      <c r="K53" s="50">
        <f t="shared" ca="1" si="18"/>
        <v>176.04152100439308</v>
      </c>
      <c r="L53" s="50">
        <f t="shared" ca="1" si="18"/>
        <v>118.62045392895971</v>
      </c>
      <c r="M53" s="50">
        <f t="shared" ca="1" si="18"/>
        <v>0</v>
      </c>
    </row>
    <row r="54" spans="2:13" ht="14.4" customHeight="1" x14ac:dyDescent="0.3">
      <c r="D54" t="s">
        <v>7</v>
      </c>
      <c r="F54" s="25" t="s">
        <v>79</v>
      </c>
      <c r="I54" s="50">
        <f ca="1">SUM(I51:I53)</f>
        <v>450</v>
      </c>
      <c r="J54" s="50">
        <f t="shared" ref="J54:M54" ca="1" si="19">SUM(J51:J53)</f>
        <v>567.83985944605286</v>
      </c>
      <c r="K54" s="50">
        <f t="shared" ca="1" si="19"/>
        <v>743.88138045044593</v>
      </c>
      <c r="L54" s="50">
        <f t="shared" ca="1" si="19"/>
        <v>862.50183437940575</v>
      </c>
      <c r="M54" s="50">
        <f t="shared" ca="1" si="19"/>
        <v>862.50183437940541</v>
      </c>
    </row>
    <row r="57" spans="2:13" ht="15" thickBot="1" x14ac:dyDescent="0.35"/>
    <row r="58" spans="2:13" s="9" customFormat="1" x14ac:dyDescent="0.3">
      <c r="B58" s="8" t="s">
        <v>14</v>
      </c>
      <c r="C58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FB48-F86A-4E30-9F44-BEFBA6D0A697}">
  <sheetPr codeName="Sheet9"/>
  <dimension ref="A1:AI31"/>
  <sheetViews>
    <sheetView showGridLines="0" zoomScale="84" zoomScaleNormal="11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I1" sqref="A1:XFD1048576"/>
    </sheetView>
  </sheetViews>
  <sheetFormatPr defaultColWidth="0" defaultRowHeight="14.4" customHeight="1" x14ac:dyDescent="0.3"/>
  <cols>
    <col min="1" max="1" width="1.33203125" customWidth="1"/>
    <col min="2" max="4" width="3.21875" customWidth="1"/>
    <col min="5" max="5" width="12.77734375" customWidth="1"/>
    <col min="6" max="6" width="5.33203125" style="25" customWidth="1"/>
    <col min="7" max="7" width="8.88671875" customWidth="1"/>
    <col min="8" max="8" width="17.1093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120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4.4" customHeight="1" x14ac:dyDescent="0.3">
      <c r="B5" s="36"/>
    </row>
    <row r="7" spans="2:35" ht="14.4" customHeight="1" x14ac:dyDescent="0.3">
      <c r="C7" t="s">
        <v>75</v>
      </c>
      <c r="I7" s="50">
        <f ca="1">Income!I44</f>
        <v>151.5010631423377</v>
      </c>
      <c r="J7" s="50">
        <f ca="1">Income!J44</f>
        <v>437.30271797261923</v>
      </c>
      <c r="K7" s="50">
        <f ca="1">Income!K44</f>
        <v>746.28952668367072</v>
      </c>
      <c r="L7" s="50">
        <f ca="1">Income!L44</f>
        <v>1088.6557620231499</v>
      </c>
      <c r="M7" s="50">
        <f ca="1">Income!M44</f>
        <v>1398.5695619765427</v>
      </c>
    </row>
    <row r="8" spans="2:35" ht="14.4" customHeight="1" x14ac:dyDescent="0.3">
      <c r="C8" t="s">
        <v>3</v>
      </c>
      <c r="I8" s="50">
        <f ca="1">-'Interest Exp'!I39</f>
        <v>-86.951628337682578</v>
      </c>
      <c r="J8" s="50">
        <f ca="1">-'Interest Exp'!J39</f>
        <v>-262.82630196435991</v>
      </c>
      <c r="K8" s="50">
        <f ca="1">-'Interest Exp'!K39</f>
        <v>-466.75556686232522</v>
      </c>
      <c r="L8" s="50">
        <f ca="1">-'Interest Exp'!L39</f>
        <v>-690.96819137790726</v>
      </c>
      <c r="M8" s="50">
        <f ca="1">-'Interest Exp'!M39</f>
        <v>-896.22749872917768</v>
      </c>
    </row>
    <row r="9" spans="2:35" s="6" customFormat="1" ht="14.4" customHeight="1" x14ac:dyDescent="0.3">
      <c r="C9" s="6" t="s">
        <v>124</v>
      </c>
      <c r="F9" s="41"/>
      <c r="H9"/>
      <c r="I9" s="53">
        <f ca="1">SUM(I7:I8)</f>
        <v>64.549434804655121</v>
      </c>
      <c r="J9" s="53">
        <f t="shared" ref="J9:M9" ca="1" si="1">SUM(J7:J8)</f>
        <v>174.47641600825932</v>
      </c>
      <c r="K9" s="53">
        <f t="shared" ca="1" si="1"/>
        <v>279.53395982134549</v>
      </c>
      <c r="L9" s="53">
        <f t="shared" ca="1" si="1"/>
        <v>397.68757064524266</v>
      </c>
      <c r="M9" s="53">
        <f t="shared" ca="1" si="1"/>
        <v>502.34206324736499</v>
      </c>
    </row>
    <row r="11" spans="2:35" ht="14.4" customHeight="1" x14ac:dyDescent="0.3">
      <c r="C11" t="s">
        <v>76</v>
      </c>
      <c r="I11" s="50">
        <f>Income!I64</f>
        <v>116.5</v>
      </c>
      <c r="J11" s="50">
        <f>Income!J64</f>
        <v>169.3125</v>
      </c>
      <c r="K11" s="50">
        <f>Income!K64</f>
        <v>227.11500000000001</v>
      </c>
      <c r="L11" s="50">
        <f>Income!L64</f>
        <v>295.88895000000002</v>
      </c>
      <c r="M11" s="50">
        <f>Income!M64</f>
        <v>370.18242843750005</v>
      </c>
    </row>
    <row r="12" spans="2:35" s="6" customFormat="1" ht="14.4" customHeight="1" x14ac:dyDescent="0.3">
      <c r="C12" s="6" t="s">
        <v>125</v>
      </c>
      <c r="F12" s="41"/>
      <c r="H12"/>
      <c r="I12" s="53">
        <f t="shared" ref="I12:M12" ca="1" si="2">I9+I11</f>
        <v>181.04943480465511</v>
      </c>
      <c r="J12" s="53">
        <f t="shared" ca="1" si="2"/>
        <v>343.78891600825932</v>
      </c>
      <c r="K12" s="53">
        <f t="shared" ca="1" si="2"/>
        <v>506.6489598213455</v>
      </c>
      <c r="L12" s="53">
        <f t="shared" ca="1" si="2"/>
        <v>693.57652064524268</v>
      </c>
      <c r="M12" s="53">
        <f t="shared" ca="1" si="2"/>
        <v>872.5244916848651</v>
      </c>
    </row>
    <row r="14" spans="2:35" ht="14.4" customHeight="1" x14ac:dyDescent="0.3">
      <c r="C14" t="s">
        <v>2</v>
      </c>
      <c r="I14" s="50">
        <f ca="1">-'Fixed Assets'!I31</f>
        <v>-52.428571428571431</v>
      </c>
      <c r="J14" s="50">
        <f ca="1">-'Fixed Assets'!J31</f>
        <v>-66.714285714285722</v>
      </c>
      <c r="K14" s="50">
        <f ca="1">-'Fixed Assets'!K31</f>
        <v>-85.142857142857139</v>
      </c>
      <c r="L14" s="50">
        <f ca="1">-'Fixed Assets'!L31</f>
        <v>-108.71428571428572</v>
      </c>
      <c r="M14" s="50">
        <f ca="1">-'Fixed Assets'!M31</f>
        <v>-141.85714285714286</v>
      </c>
    </row>
    <row r="15" spans="2:35" ht="14.4" customHeight="1" x14ac:dyDescent="0.3">
      <c r="C15" t="s">
        <v>54</v>
      </c>
      <c r="I15" s="50">
        <f>-'Other Exp'!I35</f>
        <v>-26.914999999999999</v>
      </c>
      <c r="J15" s="50">
        <f>-'Other Exp'!J35</f>
        <v>-79.025937499999998</v>
      </c>
      <c r="K15" s="50">
        <f>-'Other Exp'!K35</f>
        <v>-111.51781249999999</v>
      </c>
      <c r="L15" s="50">
        <f>-'Other Exp'!L35</f>
        <v>-137.04028176562502</v>
      </c>
      <c r="M15" s="50">
        <f>-'Other Exp'!M35</f>
        <v>-171.33822059375001</v>
      </c>
    </row>
    <row r="16" spans="2:35" ht="14.4" customHeight="1" x14ac:dyDescent="0.3">
      <c r="C16" t="s">
        <v>64</v>
      </c>
      <c r="I16" s="50">
        <f>-'Other Exp'!I41</f>
        <v>-33.6</v>
      </c>
      <c r="J16" s="50">
        <f>-'Other Exp'!J41</f>
        <v>-35.951999999999998</v>
      </c>
      <c r="K16" s="50">
        <f>-'Other Exp'!K41</f>
        <v>-52.894379999999998</v>
      </c>
      <c r="L16" s="50">
        <f>-'Other Exp'!L41</f>
        <v>-56.596986600000008</v>
      </c>
      <c r="M16" s="50">
        <f>-'Other Exp'!M41</f>
        <v>-77.074805388000001</v>
      </c>
    </row>
    <row r="17" spans="2:13" ht="14.4" customHeight="1" x14ac:dyDescent="0.3">
      <c r="C17" t="s">
        <v>70</v>
      </c>
      <c r="I17" s="50">
        <f>-'Other Exp'!I47</f>
        <v>-10.8</v>
      </c>
      <c r="J17" s="50">
        <f>-'Other Exp'!J47</f>
        <v>-14.774400000000004</v>
      </c>
      <c r="K17" s="50">
        <f>-'Other Exp'!K47</f>
        <v>-18.895680000000002</v>
      </c>
      <c r="L17" s="50">
        <f>-'Other Exp'!L47</f>
        <v>-26.302786560000001</v>
      </c>
      <c r="M17" s="50">
        <f>-'Other Exp'!M47</f>
        <v>-36.733201920000013</v>
      </c>
    </row>
    <row r="18" spans="2:13" ht="14.4" customHeight="1" x14ac:dyDescent="0.3">
      <c r="C18" t="s">
        <v>71</v>
      </c>
      <c r="I18" s="50">
        <f>-'Other Exp'!I51</f>
        <v>-5</v>
      </c>
      <c r="J18" s="50">
        <f>-'Other Exp'!J51</f>
        <v>-5.4</v>
      </c>
      <c r="K18" s="50">
        <f>-'Other Exp'!K51</f>
        <v>-5.8319999999999999</v>
      </c>
      <c r="L18" s="50">
        <f>-'Other Exp'!L51</f>
        <v>-6.2985600000000002</v>
      </c>
      <c r="M18" s="50">
        <f>-'Other Exp'!M51</f>
        <v>-6.8024448000000008</v>
      </c>
    </row>
    <row r="19" spans="2:13" s="6" customFormat="1" ht="14.4" customHeight="1" x14ac:dyDescent="0.3">
      <c r="C19" s="6" t="s">
        <v>156</v>
      </c>
      <c r="F19" s="41"/>
      <c r="H19"/>
      <c r="I19" s="53">
        <f ca="1">SUM(I14:I18)</f>
        <v>-128.74357142857144</v>
      </c>
      <c r="J19" s="53">
        <f t="shared" ref="J19:M19" ca="1" si="3">SUM(J14:J18)</f>
        <v>-201.86662321428574</v>
      </c>
      <c r="K19" s="53">
        <f t="shared" ca="1" si="3"/>
        <v>-274.28272964285713</v>
      </c>
      <c r="L19" s="53">
        <f t="shared" ca="1" si="3"/>
        <v>-334.95290063991081</v>
      </c>
      <c r="M19" s="53">
        <f t="shared" ca="1" si="3"/>
        <v>-433.80581555889285</v>
      </c>
    </row>
    <row r="20" spans="2:13" s="6" customFormat="1" ht="14.4" customHeight="1" x14ac:dyDescent="0.3">
      <c r="C20" s="6" t="s">
        <v>126</v>
      </c>
      <c r="F20" s="41"/>
      <c r="H20"/>
      <c r="I20" s="53">
        <f t="shared" ref="I20:M20" ca="1" si="4">I12+I19</f>
        <v>52.305863376083664</v>
      </c>
      <c r="J20" s="53">
        <f t="shared" ca="1" si="4"/>
        <v>141.92229279397358</v>
      </c>
      <c r="K20" s="53">
        <f t="shared" ca="1" si="4"/>
        <v>232.36623017848837</v>
      </c>
      <c r="L20" s="53">
        <f t="shared" ca="1" si="4"/>
        <v>358.62362000533187</v>
      </c>
      <c r="M20" s="53">
        <f t="shared" ca="1" si="4"/>
        <v>438.71867612597225</v>
      </c>
    </row>
    <row r="22" spans="2:13" ht="14.4" customHeight="1" x14ac:dyDescent="0.3">
      <c r="C22" t="s">
        <v>42</v>
      </c>
      <c r="I22" s="50">
        <f>-'Other Exp'!I74</f>
        <v>-47.094999999999999</v>
      </c>
      <c r="J22" s="50">
        <f>-'Other Exp'!J74</f>
        <v>-41.855775000000008</v>
      </c>
      <c r="K22" s="50">
        <f>-'Other Exp'!K74</f>
        <v>-54.554964999999996</v>
      </c>
      <c r="L22" s="50">
        <f>-'Other Exp'!L74</f>
        <v>-52.375496040000002</v>
      </c>
      <c r="M22" s="50">
        <f>-'Other Exp'!M74</f>
        <v>-44.59304790080003</v>
      </c>
    </row>
    <row r="23" spans="2:13" s="6" customFormat="1" ht="14.4" customHeight="1" x14ac:dyDescent="0.3">
      <c r="C23" s="6" t="s">
        <v>127</v>
      </c>
      <c r="F23" s="41"/>
      <c r="H23"/>
      <c r="I23" s="53">
        <f t="shared" ref="I23:M23" ca="1" si="5">I20+I22</f>
        <v>5.2108633760836653</v>
      </c>
      <c r="J23" s="53">
        <f t="shared" ca="1" si="5"/>
        <v>100.06651779397357</v>
      </c>
      <c r="K23" s="53">
        <f t="shared" ca="1" si="5"/>
        <v>177.81126517848838</v>
      </c>
      <c r="L23" s="53">
        <f t="shared" ca="1" si="5"/>
        <v>306.24812396533184</v>
      </c>
      <c r="M23" s="53">
        <f t="shared" ca="1" si="5"/>
        <v>394.12562822517225</v>
      </c>
    </row>
    <row r="25" spans="2:13" ht="14.4" customHeight="1" x14ac:dyDescent="0.3">
      <c r="C25" t="s">
        <v>72</v>
      </c>
      <c r="H25" s="51">
        <f>Inputs!H156</f>
        <v>0.25</v>
      </c>
      <c r="I25" s="50">
        <f t="shared" ref="I25:M25" ca="1" si="6">-MAX(I23*$H$25,0)</f>
        <v>-1.3027158440209163</v>
      </c>
      <c r="J25" s="50">
        <f t="shared" ca="1" si="6"/>
        <v>-25.016629448493394</v>
      </c>
      <c r="K25" s="50">
        <f t="shared" ca="1" si="6"/>
        <v>-44.452816294622096</v>
      </c>
      <c r="L25" s="50">
        <f t="shared" ca="1" si="6"/>
        <v>-76.562030991332961</v>
      </c>
      <c r="M25" s="50">
        <f t="shared" ca="1" si="6"/>
        <v>-98.531407056293062</v>
      </c>
    </row>
    <row r="26" spans="2:13" s="6" customFormat="1" ht="14.4" customHeight="1" x14ac:dyDescent="0.3">
      <c r="C26" s="6" t="s">
        <v>128</v>
      </c>
      <c r="F26" s="41"/>
      <c r="I26" s="53">
        <f ca="1">I23+I25</f>
        <v>3.908147532062749</v>
      </c>
      <c r="J26" s="53">
        <f t="shared" ref="J26:M26" ca="1" si="7">J23+J25</f>
        <v>75.049888345480184</v>
      </c>
      <c r="K26" s="53">
        <f t="shared" ca="1" si="7"/>
        <v>133.35844888386629</v>
      </c>
      <c r="L26" s="53">
        <f t="shared" ca="1" si="7"/>
        <v>229.68609297399888</v>
      </c>
      <c r="M26" s="53">
        <f t="shared" ca="1" si="7"/>
        <v>295.59422116887919</v>
      </c>
    </row>
    <row r="28" spans="2:13" ht="14.4" customHeight="1" x14ac:dyDescent="0.3">
      <c r="J28" s="43"/>
      <c r="M28" s="43"/>
    </row>
    <row r="30" spans="2:13" ht="15" thickBot="1" x14ac:dyDescent="0.35"/>
    <row r="31" spans="2:13" s="9" customFormat="1" x14ac:dyDescent="0.3">
      <c r="B31" s="8" t="s">
        <v>14</v>
      </c>
      <c r="C31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2443-E801-4658-A164-6A1A55C410FA}">
  <sheetPr codeName="Sheet10"/>
  <dimension ref="A1:AI46"/>
  <sheetViews>
    <sheetView showGridLines="0" zoomScale="50" zoomScaleNormal="11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L53" sqref="L53"/>
    </sheetView>
  </sheetViews>
  <sheetFormatPr defaultColWidth="0" defaultRowHeight="14.4" customHeight="1" x14ac:dyDescent="0.3"/>
  <cols>
    <col min="1" max="4" width="3.21875" customWidth="1"/>
    <col min="5" max="5" width="29.21875" customWidth="1"/>
    <col min="6" max="6" width="12.5546875" style="25" customWidth="1"/>
    <col min="7" max="7" width="8.88671875" customWidth="1"/>
    <col min="8" max="8" width="10.8867187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4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4.4" customHeight="1" x14ac:dyDescent="0.3">
      <c r="B5" s="36"/>
    </row>
    <row r="7" spans="2:35" ht="15.6" x14ac:dyDescent="0.3">
      <c r="B7" s="30" t="s">
        <v>122</v>
      </c>
      <c r="C7" s="31"/>
      <c r="D7" s="31"/>
      <c r="E7" s="31"/>
      <c r="F7" s="32"/>
      <c r="G7" s="31"/>
      <c r="H7" s="31"/>
      <c r="I7" s="31"/>
      <c r="J7" s="31"/>
      <c r="K7" s="31"/>
      <c r="L7" s="31"/>
      <c r="M7" s="33"/>
    </row>
    <row r="9" spans="2:35" ht="14.4" customHeight="1" x14ac:dyDescent="0.3">
      <c r="C9" s="26" t="s">
        <v>132</v>
      </c>
    </row>
    <row r="10" spans="2:35" ht="14.4" customHeight="1" x14ac:dyDescent="0.3">
      <c r="D10" t="s">
        <v>19</v>
      </c>
      <c r="I10" s="50">
        <f>Income!I20</f>
        <v>250</v>
      </c>
      <c r="J10" s="50">
        <f>Income!J20</f>
        <v>460</v>
      </c>
      <c r="K10" s="50">
        <f>Income!K20</f>
        <v>721.28000000000009</v>
      </c>
      <c r="L10" s="50">
        <f>Income!L20</f>
        <v>982.74400000000026</v>
      </c>
      <c r="M10" s="50">
        <f>Income!M20</f>
        <v>1156.6896880000004</v>
      </c>
    </row>
    <row r="11" spans="2:35" ht="14.4" customHeight="1" x14ac:dyDescent="0.3">
      <c r="D11" t="s">
        <v>20</v>
      </c>
      <c r="I11" s="50">
        <f>Income!I21</f>
        <v>75</v>
      </c>
      <c r="J11" s="50">
        <f>Income!J21</f>
        <v>129.375</v>
      </c>
      <c r="K11" s="50">
        <f>Income!K21</f>
        <v>202.86000000000004</v>
      </c>
      <c r="L11" s="50">
        <f>Income!L21</f>
        <v>298.33300000000014</v>
      </c>
      <c r="M11" s="50">
        <f>Income!M21</f>
        <v>351.51348960000013</v>
      </c>
    </row>
    <row r="12" spans="2:35" ht="14.4" customHeight="1" x14ac:dyDescent="0.3">
      <c r="D12" t="s">
        <v>21</v>
      </c>
      <c r="I12" s="50">
        <f>Income!I22</f>
        <v>2100</v>
      </c>
      <c r="J12" s="50">
        <f>Income!J22</f>
        <v>4002</v>
      </c>
      <c r="K12" s="50">
        <f>Income!K22</f>
        <v>6491.52</v>
      </c>
      <c r="L12" s="50">
        <f>Income!L22</f>
        <v>8844.6959999999999</v>
      </c>
      <c r="M12" s="50">
        <f>Income!M22</f>
        <v>10905.931344000001</v>
      </c>
    </row>
    <row r="13" spans="2:35" ht="14.4" customHeight="1" x14ac:dyDescent="0.3">
      <c r="D13" t="s">
        <v>18</v>
      </c>
      <c r="I13" s="50">
        <f>Income!I23</f>
        <v>48</v>
      </c>
      <c r="J13" s="50">
        <f>Income!J23</f>
        <v>71.759999999999991</v>
      </c>
      <c r="K13" s="50">
        <f>Income!K23</f>
        <v>92.736000000000004</v>
      </c>
      <c r="L13" s="50">
        <f>Income!L23</f>
        <v>113.436736</v>
      </c>
      <c r="M13" s="50">
        <f>Income!M23</f>
        <v>133.39486271999999</v>
      </c>
    </row>
    <row r="14" spans="2:35" s="6" customFormat="1" ht="14.4" customHeight="1" x14ac:dyDescent="0.3">
      <c r="D14" s="6" t="s">
        <v>133</v>
      </c>
      <c r="F14" s="41"/>
      <c r="G14"/>
      <c r="I14" s="53">
        <f t="shared" ref="I14:M14" si="1">SUM(I10:I13)</f>
        <v>2473</v>
      </c>
      <c r="J14" s="53">
        <f t="shared" si="1"/>
        <v>4663.1350000000002</v>
      </c>
      <c r="K14" s="53">
        <f t="shared" si="1"/>
        <v>7508.3960000000006</v>
      </c>
      <c r="L14" s="53">
        <f t="shared" si="1"/>
        <v>10239.209736000001</v>
      </c>
      <c r="M14" s="53">
        <f t="shared" si="1"/>
        <v>12547.529384320002</v>
      </c>
    </row>
    <row r="15" spans="2:35" ht="14.4" customHeight="1" x14ac:dyDescent="0.3">
      <c r="I15" s="29"/>
      <c r="J15" s="29"/>
      <c r="K15" s="45"/>
      <c r="L15" s="45"/>
      <c r="M15" s="45"/>
    </row>
    <row r="16" spans="2:35" ht="14.4" customHeight="1" x14ac:dyDescent="0.3">
      <c r="C16" s="26" t="s">
        <v>129</v>
      </c>
    </row>
    <row r="17" spans="2:13" ht="14.4" customHeight="1" x14ac:dyDescent="0.3">
      <c r="D17" t="s">
        <v>51</v>
      </c>
      <c r="I17" s="50">
        <f ca="1">'Fixed Assets'!I14</f>
        <v>98.571428571428569</v>
      </c>
      <c r="J17" s="50">
        <f ca="1">'Fixed Assets'!J14</f>
        <v>107.85714285714283</v>
      </c>
      <c r="K17" s="50">
        <f ca="1">'Fixed Assets'!K14</f>
        <v>125.71428571428569</v>
      </c>
      <c r="L17" s="50">
        <f ca="1">'Fixed Assets'!L14</f>
        <v>149.99999999999997</v>
      </c>
      <c r="M17" s="50">
        <f ca="1">'Fixed Assets'!M14</f>
        <v>187.14285714285711</v>
      </c>
    </row>
    <row r="18" spans="2:13" ht="14.4" customHeight="1" x14ac:dyDescent="0.3">
      <c r="D18" t="s">
        <v>52</v>
      </c>
      <c r="I18" s="50">
        <f ca="1">'Fixed Assets'!I25</f>
        <v>144</v>
      </c>
      <c r="J18" s="50">
        <f ca="1">'Fixed Assets'!J25</f>
        <v>148</v>
      </c>
      <c r="K18" s="50">
        <f ca="1">'Fixed Assets'!K25</f>
        <v>150</v>
      </c>
      <c r="L18" s="50">
        <f ca="1">'Fixed Assets'!L25</f>
        <v>152</v>
      </c>
      <c r="M18" s="50">
        <f ca="1">'Fixed Assets'!M25</f>
        <v>163</v>
      </c>
    </row>
    <row r="19" spans="2:13" s="6" customFormat="1" ht="14.4" customHeight="1" x14ac:dyDescent="0.3">
      <c r="D19" s="6" t="s">
        <v>135</v>
      </c>
      <c r="F19" s="41"/>
      <c r="G19"/>
      <c r="I19" s="53">
        <f ca="1">SUM(I17:I18)</f>
        <v>242.57142857142856</v>
      </c>
      <c r="J19" s="53">
        <f t="shared" ref="J19:M19" ca="1" si="2">SUM(J17:J18)</f>
        <v>255.85714285714283</v>
      </c>
      <c r="K19" s="53">
        <f t="shared" ca="1" si="2"/>
        <v>275.71428571428567</v>
      </c>
      <c r="L19" s="53">
        <f t="shared" ca="1" si="2"/>
        <v>302</v>
      </c>
      <c r="M19" s="53">
        <f t="shared" ca="1" si="2"/>
        <v>350.14285714285711</v>
      </c>
    </row>
    <row r="21" spans="2:13" ht="14.4" customHeight="1" x14ac:dyDescent="0.3">
      <c r="C21" s="26" t="s">
        <v>168</v>
      </c>
      <c r="J21" s="43"/>
    </row>
    <row r="22" spans="2:13" ht="14.4" customHeight="1" x14ac:dyDescent="0.3">
      <c r="D22" t="s">
        <v>166</v>
      </c>
      <c r="I22" s="50">
        <f ca="1">Income!I35</f>
        <v>246.06314233770732</v>
      </c>
      <c r="J22" s="50">
        <f ca="1">Income!J35</f>
        <v>464.80483028150525</v>
      </c>
      <c r="K22" s="50">
        <f ca="1">Income!K35</f>
        <v>742.71185338915916</v>
      </c>
      <c r="L22" s="50">
        <f ca="1">Income!L35</f>
        <v>1004.5360097605765</v>
      </c>
      <c r="M22" s="50">
        <f ca="1">Income!M35</f>
        <v>1228.5665915820409</v>
      </c>
    </row>
    <row r="23" spans="2:13" ht="14.4" customHeight="1" x14ac:dyDescent="0.3">
      <c r="D23" t="s">
        <v>134</v>
      </c>
      <c r="I23" s="50">
        <f ca="1">CFS!I38</f>
        <v>0</v>
      </c>
      <c r="J23" s="50">
        <f ca="1">CFS!J38</f>
        <v>0</v>
      </c>
      <c r="K23" s="50">
        <f ca="1">CFS!K38</f>
        <v>0</v>
      </c>
      <c r="L23" s="50">
        <f ca="1">CFS!L38</f>
        <v>0</v>
      </c>
      <c r="M23" s="50">
        <f ca="1">CFS!M38</f>
        <v>0</v>
      </c>
    </row>
    <row r="24" spans="2:13" s="6" customFormat="1" ht="14.4" customHeight="1" x14ac:dyDescent="0.3">
      <c r="D24" s="6" t="s">
        <v>169</v>
      </c>
      <c r="F24" s="41"/>
      <c r="G24"/>
      <c r="I24" s="53">
        <f ca="1">SUM(I22:I23)</f>
        <v>246.06314233770732</v>
      </c>
      <c r="J24" s="53">
        <f t="shared" ref="J24:M24" ca="1" si="3">SUM(J22:J23)</f>
        <v>464.80483028150525</v>
      </c>
      <c r="K24" s="53">
        <f t="shared" ca="1" si="3"/>
        <v>742.71185338915916</v>
      </c>
      <c r="L24" s="53">
        <f t="shared" ca="1" si="3"/>
        <v>1004.5360097605765</v>
      </c>
      <c r="M24" s="53">
        <f t="shared" ca="1" si="3"/>
        <v>1228.5665915820409</v>
      </c>
    </row>
    <row r="25" spans="2:13" ht="14.4" customHeight="1" x14ac:dyDescent="0.3">
      <c r="F25"/>
    </row>
    <row r="26" spans="2:13" s="6" customFormat="1" ht="14.4" customHeight="1" x14ac:dyDescent="0.3">
      <c r="C26" s="6" t="s">
        <v>145</v>
      </c>
      <c r="F26" s="41"/>
      <c r="G26"/>
      <c r="I26" s="53">
        <f t="shared" ref="I26:M26" ca="1" si="4">SUM(I14,I19,I24)</f>
        <v>2961.6345709091356</v>
      </c>
      <c r="J26" s="53">
        <f t="shared" ca="1" si="4"/>
        <v>5383.7969731386484</v>
      </c>
      <c r="K26" s="53">
        <f t="shared" ca="1" si="4"/>
        <v>8526.8221391034458</v>
      </c>
      <c r="L26" s="53">
        <f t="shared" ca="1" si="4"/>
        <v>11545.745745760578</v>
      </c>
      <c r="M26" s="53">
        <f t="shared" ca="1" si="4"/>
        <v>14126.238833044899</v>
      </c>
    </row>
    <row r="28" spans="2:13" ht="15.6" x14ac:dyDescent="0.3">
      <c r="B28" s="30" t="s">
        <v>123</v>
      </c>
      <c r="C28" s="31"/>
      <c r="D28" s="31"/>
      <c r="E28" s="31"/>
      <c r="F28" s="32"/>
      <c r="G28" s="31"/>
      <c r="H28" s="31"/>
      <c r="I28" s="31"/>
      <c r="J28" s="31"/>
      <c r="K28" s="31"/>
      <c r="L28" s="31"/>
      <c r="M28" s="44"/>
    </row>
    <row r="30" spans="2:13" ht="14.4" customHeight="1" x14ac:dyDescent="0.3">
      <c r="C30" s="26" t="s">
        <v>136</v>
      </c>
      <c r="I30" s="45"/>
      <c r="J30" s="29"/>
      <c r="K30" s="45"/>
      <c r="L30" s="45"/>
      <c r="M30" s="45"/>
    </row>
    <row r="31" spans="2:13" ht="14.4" customHeight="1" x14ac:dyDescent="0.3">
      <c r="D31" t="s">
        <v>138</v>
      </c>
      <c r="F31" s="41"/>
      <c r="I31" s="50">
        <f>'Interest Exp'!I20</f>
        <v>1428.5714285714287</v>
      </c>
      <c r="J31" s="50">
        <f>'Interest Exp'!J20</f>
        <v>2000.0000000000002</v>
      </c>
      <c r="K31" s="50">
        <f>'Interest Exp'!K20</f>
        <v>2486.8421052631579</v>
      </c>
      <c r="L31" s="50">
        <f>'Interest Exp'!L20</f>
        <v>2812.5</v>
      </c>
      <c r="M31" s="50">
        <f>'Interest Exp'!M20</f>
        <v>2830.0781249999995</v>
      </c>
    </row>
    <row r="32" spans="2:13" ht="14.4" customHeight="1" x14ac:dyDescent="0.3">
      <c r="D32" t="s">
        <v>49</v>
      </c>
      <c r="I32" s="50">
        <f ca="1">'Interest Exp'!I30</f>
        <v>1032.0599948056445</v>
      </c>
      <c r="J32" s="50">
        <f ca="1">'Interest Exp'!J30</f>
        <v>2648.048302815052</v>
      </c>
      <c r="K32" s="50">
        <f ca="1">'Interest Exp'!K30</f>
        <v>4940.2764286284319</v>
      </c>
      <c r="L32" s="50">
        <f ca="1">'Interest Exp'!L30</f>
        <v>7232.8600976057633</v>
      </c>
      <c r="M32" s="50">
        <f ca="1">'Interest Exp'!M30</f>
        <v>9455.5877908204075</v>
      </c>
    </row>
    <row r="33" spans="1:13" ht="14.4" customHeight="1" x14ac:dyDescent="0.3">
      <c r="A33" s="6"/>
      <c r="D33" t="s">
        <v>42</v>
      </c>
      <c r="I33" s="50">
        <f>'Other Exp'!I73</f>
        <v>47.094999999999999</v>
      </c>
      <c r="J33" s="50">
        <f>'Other Exp'!J73</f>
        <v>88.950775000000007</v>
      </c>
      <c r="K33" s="50">
        <f>'Other Exp'!K73</f>
        <v>143.50574</v>
      </c>
      <c r="L33" s="50">
        <f>'Other Exp'!L73</f>
        <v>195.88123604</v>
      </c>
      <c r="M33" s="50">
        <f>'Other Exp'!M73</f>
        <v>240.47428394080003</v>
      </c>
    </row>
    <row r="34" spans="1:13" s="6" customFormat="1" ht="14.4" customHeight="1" x14ac:dyDescent="0.3">
      <c r="D34" s="6" t="s">
        <v>139</v>
      </c>
      <c r="F34" s="41"/>
      <c r="G34"/>
      <c r="I34" s="53">
        <f ca="1">SUM(I31:I33)</f>
        <v>2507.7264233770729</v>
      </c>
      <c r="J34" s="53">
        <f t="shared" ref="J34:M34" ca="1" si="5">SUM(J31:J33)</f>
        <v>4736.9990778150523</v>
      </c>
      <c r="K34" s="53">
        <f t="shared" ca="1" si="5"/>
        <v>7570.6242738915889</v>
      </c>
      <c r="L34" s="53">
        <f t="shared" ca="1" si="5"/>
        <v>10241.241333645765</v>
      </c>
      <c r="M34" s="53">
        <f t="shared" ca="1" si="5"/>
        <v>12526.140199761208</v>
      </c>
    </row>
    <row r="36" spans="1:13" ht="14.4" customHeight="1" x14ac:dyDescent="0.3">
      <c r="C36" s="26" t="s">
        <v>11</v>
      </c>
    </row>
    <row r="37" spans="1:13" ht="14.4" customHeight="1" x14ac:dyDescent="0.3">
      <c r="D37" t="s">
        <v>199</v>
      </c>
      <c r="I37" s="50">
        <f ca="1">CAR!I54</f>
        <v>450</v>
      </c>
      <c r="J37" s="50">
        <f ca="1">CAR!J54</f>
        <v>567.83985944605286</v>
      </c>
      <c r="K37" s="50">
        <f ca="1">CAR!K54</f>
        <v>743.88138045044604</v>
      </c>
      <c r="L37" s="50">
        <f ca="1">CAR!L54</f>
        <v>862.50183437940541</v>
      </c>
      <c r="M37" s="50">
        <f ca="1">CAR!M54</f>
        <v>862.50183437940575</v>
      </c>
    </row>
    <row r="38" spans="1:13" ht="14.4" customHeight="1" x14ac:dyDescent="0.3">
      <c r="D38" t="s">
        <v>142</v>
      </c>
      <c r="I38" s="50">
        <f ca="1">CAR!I48</f>
        <v>3.908147532062749</v>
      </c>
      <c r="J38" s="50">
        <f ca="1">CAR!J48</f>
        <v>78.958035877542926</v>
      </c>
      <c r="K38" s="50">
        <f ca="1">CAR!K48</f>
        <v>212.31648476140921</v>
      </c>
      <c r="L38" s="50">
        <f ca="1">CAR!L48</f>
        <v>442.00257773540807</v>
      </c>
      <c r="M38" s="50">
        <f ca="1">CAR!M48</f>
        <v>737.5967989042872</v>
      </c>
    </row>
    <row r="39" spans="1:13" s="6" customFormat="1" ht="14.4" customHeight="1" x14ac:dyDescent="0.3">
      <c r="D39" s="6" t="s">
        <v>143</v>
      </c>
      <c r="F39" s="41"/>
      <c r="G39"/>
      <c r="I39" s="53">
        <f ca="1">SUM(I37:I38)</f>
        <v>453.90814753206274</v>
      </c>
      <c r="J39" s="53">
        <f t="shared" ref="J39:M39" ca="1" si="6">SUM(J37:J38)</f>
        <v>646.79789532359575</v>
      </c>
      <c r="K39" s="53">
        <f t="shared" ca="1" si="6"/>
        <v>956.19786521185529</v>
      </c>
      <c r="L39" s="53">
        <f t="shared" ca="1" si="6"/>
        <v>1304.5044121148135</v>
      </c>
      <c r="M39" s="53">
        <f t="shared" ca="1" si="6"/>
        <v>1600.0986332836928</v>
      </c>
    </row>
    <row r="41" spans="1:13" s="6" customFormat="1" ht="14.4" customHeight="1" x14ac:dyDescent="0.3">
      <c r="C41" s="6" t="s">
        <v>144</v>
      </c>
      <c r="F41" s="41"/>
      <c r="G41"/>
      <c r="I41" s="53">
        <f t="shared" ref="I41:M41" ca="1" si="7">I34+I39</f>
        <v>2961.6345709091356</v>
      </c>
      <c r="J41" s="53">
        <f t="shared" ca="1" si="7"/>
        <v>5383.7969731386484</v>
      </c>
      <c r="K41" s="53">
        <f t="shared" ca="1" si="7"/>
        <v>8526.822139103444</v>
      </c>
      <c r="L41" s="53">
        <f t="shared" ca="1" si="7"/>
        <v>11545.745745760578</v>
      </c>
      <c r="M41" s="53">
        <f t="shared" ca="1" si="7"/>
        <v>14126.238833044901</v>
      </c>
    </row>
    <row r="43" spans="1:13" s="7" customFormat="1" ht="14.4" customHeight="1" x14ac:dyDescent="0.3">
      <c r="C43" s="7" t="s">
        <v>10</v>
      </c>
      <c r="F43" s="42"/>
      <c r="G43"/>
      <c r="I43" s="7" t="b">
        <f t="shared" ref="I43:M43" ca="1" si="8">ABS(I26-I41)&lt;0.01</f>
        <v>1</v>
      </c>
      <c r="J43" s="7" t="b">
        <f t="shared" ca="1" si="8"/>
        <v>1</v>
      </c>
      <c r="K43" s="7" t="b">
        <f t="shared" ca="1" si="8"/>
        <v>1</v>
      </c>
      <c r="L43" s="7" t="b">
        <f t="shared" ca="1" si="8"/>
        <v>1</v>
      </c>
      <c r="M43" s="7" t="b">
        <f t="shared" ca="1" si="8"/>
        <v>1</v>
      </c>
    </row>
    <row r="44" spans="1:13" ht="14.4" customHeight="1" x14ac:dyDescent="0.3">
      <c r="I44" s="43"/>
      <c r="J44" s="43"/>
      <c r="K44" s="43"/>
      <c r="L44" s="43"/>
      <c r="M44" s="43"/>
    </row>
    <row r="45" spans="1:13" ht="15" thickBot="1" x14ac:dyDescent="0.35">
      <c r="I45" s="43"/>
      <c r="J45" s="43"/>
      <c r="K45" s="43"/>
      <c r="L45" s="43"/>
      <c r="M45" s="43"/>
    </row>
    <row r="46" spans="1:13" s="9" customFormat="1" x14ac:dyDescent="0.3">
      <c r="B46" s="8" t="s">
        <v>14</v>
      </c>
      <c r="C46" s="8"/>
    </row>
  </sheetData>
  <conditionalFormatting sqref="I43:M4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29E-C841-409B-AB1E-9B0141104A1B}">
  <sheetPr codeName="Sheet11"/>
  <dimension ref="A1:AI42"/>
  <sheetViews>
    <sheetView showGridLines="0" zoomScale="66" zoomScaleNormal="120" workbookViewId="0">
      <pane xSplit="8" ySplit="3" topLeftCell="I18" activePane="bottomRight" state="frozen"/>
      <selection pane="topRight" activeCell="G1" sqref="G1"/>
      <selection pane="bottomLeft" activeCell="A4" sqref="A4"/>
      <selection pane="bottomRight" activeCell="N23" sqref="N23"/>
    </sheetView>
  </sheetViews>
  <sheetFormatPr defaultColWidth="0" defaultRowHeight="14.4" customHeight="1" x14ac:dyDescent="0.3"/>
  <cols>
    <col min="1" max="1" width="1" customWidth="1"/>
    <col min="2" max="4" width="3.21875" customWidth="1"/>
    <col min="5" max="5" width="15.21875" customWidth="1"/>
    <col min="6" max="6" width="7.109375" style="25" customWidth="1"/>
    <col min="7" max="7" width="8.88671875" customWidth="1"/>
    <col min="8" max="8" width="23.6640625" bestFit="1" customWidth="1"/>
    <col min="9" max="13" width="14.5546875" customWidth="1"/>
    <col min="14" max="14" width="8.88671875" customWidth="1"/>
    <col min="15" max="35" width="0" hidden="1" customWidth="1"/>
    <col min="36" max="16384" width="8.88671875" hidden="1"/>
  </cols>
  <sheetData>
    <row r="1" spans="2:35" s="15" customFormat="1" ht="26.4" customHeight="1" x14ac:dyDescent="0.3">
      <c r="B1" s="13" t="e">
        <f>Company_Name</f>
        <v>#REF!</v>
      </c>
      <c r="C1" s="13"/>
      <c r="D1" s="14"/>
      <c r="E1" s="13"/>
      <c r="F1" s="2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2:35" s="4" customFormat="1" ht="18" x14ac:dyDescent="0.35">
      <c r="B2" s="1" t="s">
        <v>5</v>
      </c>
      <c r="C2" s="2"/>
      <c r="D2" s="5"/>
      <c r="E2" s="1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5" s="20" customFormat="1" x14ac:dyDescent="0.3">
      <c r="B3" s="16"/>
      <c r="C3" s="17"/>
      <c r="D3" s="18"/>
      <c r="E3" s="17"/>
      <c r="F3" s="23"/>
      <c r="G3" s="17"/>
      <c r="H3" s="17"/>
      <c r="I3" s="27">
        <v>1</v>
      </c>
      <c r="J3" s="27">
        <f>I3+1</f>
        <v>2</v>
      </c>
      <c r="K3" s="27">
        <f t="shared" ref="K3:M3" si="0">J3+1</f>
        <v>3</v>
      </c>
      <c r="L3" s="27">
        <f t="shared" si="0"/>
        <v>4</v>
      </c>
      <c r="M3" s="27">
        <f t="shared" si="0"/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9"/>
      <c r="AG3" s="19"/>
      <c r="AH3" s="19"/>
      <c r="AI3" s="19"/>
    </row>
    <row r="5" spans="2:35" ht="14.4" customHeight="1" x14ac:dyDescent="0.3">
      <c r="B5" s="36" t="s">
        <v>121</v>
      </c>
    </row>
    <row r="7" spans="2:35" ht="15.6" x14ac:dyDescent="0.3">
      <c r="B7" s="30" t="s">
        <v>146</v>
      </c>
      <c r="C7" s="31"/>
      <c r="D7" s="31"/>
      <c r="E7" s="31"/>
      <c r="F7" s="32"/>
      <c r="G7" s="31"/>
      <c r="H7" s="31"/>
      <c r="I7" s="31"/>
      <c r="J7" s="31"/>
      <c r="K7" s="31"/>
      <c r="L7" s="31"/>
      <c r="M7" s="33"/>
    </row>
    <row r="9" spans="2:35" ht="14.4" customHeight="1" x14ac:dyDescent="0.3">
      <c r="C9" t="s">
        <v>75</v>
      </c>
      <c r="I9" s="50">
        <f ca="1">'Inc St'!I7</f>
        <v>151.5010631423377</v>
      </c>
      <c r="J9" s="50">
        <f ca="1">'Inc St'!J7</f>
        <v>437.30271797261923</v>
      </c>
      <c r="K9" s="50">
        <f ca="1">'Inc St'!K7</f>
        <v>746.28952668367072</v>
      </c>
      <c r="L9" s="50">
        <f ca="1">'Inc St'!L7</f>
        <v>1088.6557620231499</v>
      </c>
      <c r="M9" s="50">
        <f ca="1">'Inc St'!M7</f>
        <v>1398.5695619765427</v>
      </c>
    </row>
    <row r="10" spans="2:35" ht="14.4" customHeight="1" x14ac:dyDescent="0.3">
      <c r="C10" t="s">
        <v>3</v>
      </c>
      <c r="I10" s="50">
        <f ca="1">'Inc St'!I8</f>
        <v>-86.951628337682578</v>
      </c>
      <c r="J10" s="50">
        <f ca="1">'Inc St'!J8</f>
        <v>-262.82630196435991</v>
      </c>
      <c r="K10" s="50">
        <f ca="1">'Inc St'!K8</f>
        <v>-466.75556686232528</v>
      </c>
      <c r="L10" s="50">
        <f ca="1">'Inc St'!L8</f>
        <v>-690.96819137790726</v>
      </c>
      <c r="M10" s="50">
        <f ca="1">'Inc St'!M8</f>
        <v>-896.22749872917768</v>
      </c>
    </row>
    <row r="11" spans="2:35" ht="14.4" customHeight="1" x14ac:dyDescent="0.3">
      <c r="C11" t="s">
        <v>154</v>
      </c>
      <c r="I11" s="50">
        <f>'Inc St'!I11</f>
        <v>116.5</v>
      </c>
      <c r="J11" s="50">
        <f>'Inc St'!J11</f>
        <v>169.3125</v>
      </c>
      <c r="K11" s="50">
        <f>'Inc St'!K11</f>
        <v>227.11500000000001</v>
      </c>
      <c r="L11" s="50">
        <f>'Inc St'!L11</f>
        <v>295.88895000000002</v>
      </c>
      <c r="M11" s="50">
        <f>'Inc St'!M11</f>
        <v>370.18242843750005</v>
      </c>
    </row>
    <row r="12" spans="2:35" ht="14.4" customHeight="1" x14ac:dyDescent="0.3">
      <c r="C12" t="s">
        <v>54</v>
      </c>
      <c r="I12" s="50">
        <f>'Inc St'!I15</f>
        <v>-26.914999999999999</v>
      </c>
      <c r="J12" s="50">
        <f>'Inc St'!J15</f>
        <v>-79.025937499999998</v>
      </c>
      <c r="K12" s="50">
        <f>'Inc St'!K15</f>
        <v>-111.51781249999999</v>
      </c>
      <c r="L12" s="50">
        <f>'Inc St'!L15</f>
        <v>-137.04028176562502</v>
      </c>
      <c r="M12" s="50">
        <f>'Inc St'!M15</f>
        <v>-171.33822059375001</v>
      </c>
    </row>
    <row r="13" spans="2:35" ht="14.4" customHeight="1" x14ac:dyDescent="0.3">
      <c r="C13" t="s">
        <v>64</v>
      </c>
      <c r="I13" s="50">
        <f>'Inc St'!I16</f>
        <v>-33.6</v>
      </c>
      <c r="J13" s="50">
        <f>'Inc St'!J16</f>
        <v>-35.951999999999998</v>
      </c>
      <c r="K13" s="50">
        <f>'Inc St'!K16</f>
        <v>-52.894379999999998</v>
      </c>
      <c r="L13" s="50">
        <f>'Inc St'!L16</f>
        <v>-56.596986600000008</v>
      </c>
      <c r="M13" s="50">
        <f>'Inc St'!M16</f>
        <v>-77.074805388000001</v>
      </c>
    </row>
    <row r="14" spans="2:35" ht="14.4" customHeight="1" x14ac:dyDescent="0.3">
      <c r="C14" t="s">
        <v>70</v>
      </c>
      <c r="I14" s="50">
        <f>'Inc St'!I17</f>
        <v>-10.8</v>
      </c>
      <c r="J14" s="50">
        <f>'Inc St'!J17</f>
        <v>-14.774400000000004</v>
      </c>
      <c r="K14" s="50">
        <f>'Inc St'!K17</f>
        <v>-18.895680000000002</v>
      </c>
      <c r="L14" s="50">
        <f>'Inc St'!L17</f>
        <v>-26.302786560000001</v>
      </c>
      <c r="M14" s="50">
        <f>'Inc St'!M17</f>
        <v>-36.733201920000013</v>
      </c>
    </row>
    <row r="15" spans="2:35" ht="14.4" customHeight="1" x14ac:dyDescent="0.3">
      <c r="C15" t="s">
        <v>71</v>
      </c>
      <c r="I15" s="50">
        <f>'Inc St'!I18</f>
        <v>-5</v>
      </c>
      <c r="J15" s="50">
        <f>'Inc St'!J18</f>
        <v>-5.4</v>
      </c>
      <c r="K15" s="50">
        <f>'Inc St'!K18</f>
        <v>-5.8319999999999999</v>
      </c>
      <c r="L15" s="50">
        <f>'Inc St'!L18</f>
        <v>-6.2985600000000002</v>
      </c>
      <c r="M15" s="50">
        <f>'Inc St'!M18</f>
        <v>-6.8024448000000008</v>
      </c>
    </row>
    <row r="16" spans="2:35" ht="14.4" customHeight="1" x14ac:dyDescent="0.3">
      <c r="C16" t="s">
        <v>72</v>
      </c>
      <c r="I16" s="50">
        <f ca="1">'Inc St'!I25</f>
        <v>-1.3027158440209163</v>
      </c>
      <c r="J16" s="50">
        <f ca="1">'Inc St'!J25</f>
        <v>-25.016629448493394</v>
      </c>
      <c r="K16" s="50">
        <f ca="1">'Inc St'!K25</f>
        <v>-44.452816294622082</v>
      </c>
      <c r="L16" s="50">
        <f ca="1">'Inc St'!L25</f>
        <v>-76.562030991332961</v>
      </c>
      <c r="M16" s="50">
        <f ca="1">'Inc St'!M25</f>
        <v>-98.531407056293062</v>
      </c>
    </row>
    <row r="17" spans="2:13" ht="14.4" customHeight="1" x14ac:dyDescent="0.3">
      <c r="C17" t="s">
        <v>138</v>
      </c>
      <c r="I17" s="50">
        <f>'Bal Sh'!I31-'Bal Sh'!H31</f>
        <v>1428.5714285714287</v>
      </c>
      <c r="J17" s="50">
        <f>'Bal Sh'!J31-'Bal Sh'!I31</f>
        <v>571.42857142857156</v>
      </c>
      <c r="K17" s="50">
        <f>'Bal Sh'!K31-'Bal Sh'!J31</f>
        <v>486.84210526315769</v>
      </c>
      <c r="L17" s="50">
        <f>'Bal Sh'!L31-'Bal Sh'!K31</f>
        <v>325.65789473684208</v>
      </c>
      <c r="M17" s="50">
        <f>'Bal Sh'!M31-'Bal Sh'!L31</f>
        <v>17.578124999999545</v>
      </c>
    </row>
    <row r="18" spans="2:13" ht="14.4" customHeight="1" x14ac:dyDescent="0.3">
      <c r="C18" t="s">
        <v>131</v>
      </c>
      <c r="I18" s="50">
        <f>-('Bal Sh'!I14-'Bal Sh'!H14)</f>
        <v>-2473</v>
      </c>
      <c r="J18" s="50">
        <f>-('Bal Sh'!J14-'Bal Sh'!I14)</f>
        <v>-2190.1350000000002</v>
      </c>
      <c r="K18" s="50">
        <f>-('Bal Sh'!K14-'Bal Sh'!J14)</f>
        <v>-2845.2610000000004</v>
      </c>
      <c r="L18" s="50">
        <f>-('Bal Sh'!L14-'Bal Sh'!K14)</f>
        <v>-2730.8137360000001</v>
      </c>
      <c r="M18" s="50">
        <f>-('Bal Sh'!M14-'Bal Sh'!L14)</f>
        <v>-2308.3196483200009</v>
      </c>
    </row>
    <row r="19" spans="2:13" ht="14.4" customHeight="1" x14ac:dyDescent="0.3">
      <c r="C19" t="s">
        <v>166</v>
      </c>
      <c r="I19" s="50">
        <f ca="1">-('Bal Sh'!I22-'Bal Sh'!H22)</f>
        <v>-246.06314233770732</v>
      </c>
      <c r="J19" s="50">
        <f ca="1">-('Bal Sh'!J22-'Bal Sh'!I22)</f>
        <v>-218.74168794379793</v>
      </c>
      <c r="K19" s="50">
        <f ca="1">-('Bal Sh'!K22-'Bal Sh'!J22)</f>
        <v>-277.90702310765391</v>
      </c>
      <c r="L19" s="50">
        <f ca="1">-('Bal Sh'!L22-'Bal Sh'!K22)</f>
        <v>-261.8241563714173</v>
      </c>
      <c r="M19" s="50">
        <f ca="1">-('Bal Sh'!M22-'Bal Sh'!L22)</f>
        <v>-224.03058182146447</v>
      </c>
    </row>
    <row r="20" spans="2:13" s="6" customFormat="1" ht="14.4" customHeight="1" x14ac:dyDescent="0.3">
      <c r="C20" s="6" t="s">
        <v>147</v>
      </c>
      <c r="F20" s="41"/>
      <c r="H20"/>
      <c r="I20" s="53">
        <f t="shared" ref="I20:M20" ca="1" si="1">SUM(I9:I19)</f>
        <v>-1187.0599948056445</v>
      </c>
      <c r="J20" s="53">
        <f t="shared" ca="1" si="1"/>
        <v>-1653.8281674554605</v>
      </c>
      <c r="K20" s="53">
        <f t="shared" ca="1" si="1"/>
        <v>-2363.2696468177733</v>
      </c>
      <c r="L20" s="53">
        <f t="shared" ca="1" si="1"/>
        <v>-2276.2041229062906</v>
      </c>
      <c r="M20" s="53">
        <f t="shared" ca="1" si="1"/>
        <v>-2032.7276932146438</v>
      </c>
    </row>
    <row r="22" spans="2:13" ht="15.6" x14ac:dyDescent="0.3">
      <c r="B22" s="30" t="s">
        <v>148</v>
      </c>
      <c r="C22" s="31"/>
      <c r="D22" s="31"/>
      <c r="E22" s="31"/>
      <c r="F22" s="32"/>
      <c r="G22" s="31"/>
      <c r="H22" s="31"/>
      <c r="I22" s="31"/>
      <c r="J22" s="31"/>
      <c r="K22" s="31"/>
      <c r="L22" s="31"/>
      <c r="M22" s="33"/>
    </row>
    <row r="24" spans="2:13" ht="14.4" customHeight="1" x14ac:dyDescent="0.3">
      <c r="C24" t="s">
        <v>8</v>
      </c>
      <c r="I24" s="50">
        <f>-'Fixed Assets'!I30</f>
        <v>-295</v>
      </c>
      <c r="J24" s="50">
        <f>-'Fixed Assets'!J30</f>
        <v>-80</v>
      </c>
      <c r="K24" s="50">
        <f>-'Fixed Assets'!K30</f>
        <v>-105</v>
      </c>
      <c r="L24" s="50">
        <f>-'Fixed Assets'!L30</f>
        <v>-135</v>
      </c>
      <c r="M24" s="50">
        <f>-'Fixed Assets'!M30</f>
        <v>-190</v>
      </c>
    </row>
    <row r="25" spans="2:13" s="6" customFormat="1" ht="14.4" customHeight="1" x14ac:dyDescent="0.3">
      <c r="C25" s="6" t="s">
        <v>194</v>
      </c>
      <c r="F25" s="41"/>
      <c r="H25"/>
      <c r="I25" s="53">
        <f t="shared" ref="I25:M25" si="2">SUM(I24:I24)</f>
        <v>-295</v>
      </c>
      <c r="J25" s="53">
        <f t="shared" si="2"/>
        <v>-80</v>
      </c>
      <c r="K25" s="53">
        <f t="shared" si="2"/>
        <v>-105</v>
      </c>
      <c r="L25" s="53">
        <f t="shared" si="2"/>
        <v>-135</v>
      </c>
      <c r="M25" s="53">
        <f t="shared" si="2"/>
        <v>-190</v>
      </c>
    </row>
    <row r="27" spans="2:13" ht="15.6" x14ac:dyDescent="0.3">
      <c r="B27" s="30" t="s">
        <v>150</v>
      </c>
      <c r="C27" s="31"/>
      <c r="D27" s="31"/>
      <c r="E27" s="31"/>
      <c r="F27" s="32"/>
      <c r="G27" s="31"/>
      <c r="H27" s="60"/>
      <c r="I27" s="31"/>
      <c r="J27" s="31"/>
      <c r="K27" s="31"/>
      <c r="L27" s="31"/>
      <c r="M27" s="33"/>
    </row>
    <row r="29" spans="2:13" ht="14.4" customHeight="1" x14ac:dyDescent="0.3">
      <c r="C29" t="s">
        <v>16</v>
      </c>
      <c r="I29" s="50">
        <f>CAR!I52</f>
        <v>450</v>
      </c>
      <c r="J29" s="50">
        <f>CAR!J52</f>
        <v>0</v>
      </c>
      <c r="K29" s="50">
        <f>CAR!K52</f>
        <v>0</v>
      </c>
      <c r="L29" s="50">
        <f>CAR!L52</f>
        <v>0</v>
      </c>
      <c r="M29" s="50">
        <f>CAR!M52</f>
        <v>0</v>
      </c>
    </row>
    <row r="30" spans="2:13" ht="14.4" customHeight="1" x14ac:dyDescent="0.3">
      <c r="C30" t="s">
        <v>160</v>
      </c>
      <c r="I30" s="50">
        <f ca="1">CAR!I53</f>
        <v>0</v>
      </c>
      <c r="J30" s="50">
        <f ca="1">CAR!J53</f>
        <v>117.83985944605286</v>
      </c>
      <c r="K30" s="50">
        <f ca="1">CAR!K53</f>
        <v>176.04152100439308</v>
      </c>
      <c r="L30" s="50">
        <f ca="1">CAR!L53</f>
        <v>118.62045392895971</v>
      </c>
      <c r="M30" s="50">
        <f ca="1">CAR!M53</f>
        <v>0</v>
      </c>
    </row>
    <row r="31" spans="2:13" ht="14.4" customHeight="1" x14ac:dyDescent="0.3">
      <c r="C31" t="s">
        <v>137</v>
      </c>
      <c r="I31" s="50">
        <f ca="1">'Bal Sh'!I32-'Bal Sh'!H32</f>
        <v>1032.0599948056445</v>
      </c>
      <c r="J31" s="50">
        <f ca="1">'Bal Sh'!J32-'Bal Sh'!I32</f>
        <v>1615.9883080094075</v>
      </c>
      <c r="K31" s="50">
        <f ca="1">'Bal Sh'!K32-'Bal Sh'!J32</f>
        <v>2292.2281258133798</v>
      </c>
      <c r="L31" s="50">
        <f ca="1">'Bal Sh'!L32-'Bal Sh'!K32</f>
        <v>2292.5836689773314</v>
      </c>
      <c r="M31" s="50">
        <f ca="1">'Bal Sh'!M32-'Bal Sh'!L32</f>
        <v>2222.7276932146442</v>
      </c>
    </row>
    <row r="32" spans="2:13" s="6" customFormat="1" ht="14.4" customHeight="1" x14ac:dyDescent="0.3">
      <c r="C32" s="6" t="s">
        <v>149</v>
      </c>
      <c r="F32" s="41"/>
      <c r="H32"/>
      <c r="I32" s="53">
        <f ca="1">SUM(I29:I31)</f>
        <v>1482.0599948056445</v>
      </c>
      <c r="J32" s="53">
        <f t="shared" ref="J32:M32" ca="1" si="3">SUM(J29:J31)</f>
        <v>1733.8281674554605</v>
      </c>
      <c r="K32" s="53">
        <f t="shared" ca="1" si="3"/>
        <v>2468.2696468177728</v>
      </c>
      <c r="L32" s="53">
        <f t="shared" ca="1" si="3"/>
        <v>2411.2041229062911</v>
      </c>
      <c r="M32" s="53">
        <f t="shared" ca="1" si="3"/>
        <v>2222.7276932146442</v>
      </c>
    </row>
    <row r="34" spans="2:13" ht="15.6" x14ac:dyDescent="0.3">
      <c r="B34" s="30" t="s">
        <v>134</v>
      </c>
      <c r="C34" s="31"/>
      <c r="D34" s="31"/>
      <c r="E34" s="31"/>
      <c r="F34" s="32"/>
      <c r="G34" s="31"/>
      <c r="H34" s="31"/>
      <c r="I34" s="31"/>
      <c r="J34" s="31"/>
      <c r="K34" s="31"/>
      <c r="L34" s="31"/>
      <c r="M34" s="33"/>
    </row>
    <row r="36" spans="2:13" ht="14.4" customHeight="1" x14ac:dyDescent="0.3">
      <c r="C36" t="s">
        <v>151</v>
      </c>
      <c r="H36" s="25"/>
      <c r="I36" s="50">
        <f ca="1">SUM(I20,I25,I32)</f>
        <v>0</v>
      </c>
      <c r="J36" s="50">
        <f t="shared" ref="J36:M36" ca="1" si="4">SUM(J20,J25,J32)</f>
        <v>0</v>
      </c>
      <c r="K36" s="50">
        <f t="shared" ca="1" si="4"/>
        <v>0</v>
      </c>
      <c r="L36" s="50">
        <f t="shared" ca="1" si="4"/>
        <v>0</v>
      </c>
      <c r="M36" s="50">
        <f t="shared" ca="1" si="4"/>
        <v>0</v>
      </c>
    </row>
    <row r="37" spans="2:13" ht="14.4" customHeight="1" x14ac:dyDescent="0.3">
      <c r="C37" t="s">
        <v>152</v>
      </c>
      <c r="H37" s="25"/>
      <c r="I37" s="39"/>
      <c r="J37" s="50">
        <f ca="1">I38</f>
        <v>0</v>
      </c>
      <c r="K37" s="50">
        <f t="shared" ref="K37:M37" ca="1" si="5">J38</f>
        <v>0</v>
      </c>
      <c r="L37" s="50">
        <f t="shared" ca="1" si="5"/>
        <v>0</v>
      </c>
      <c r="M37" s="50">
        <f t="shared" ca="1" si="5"/>
        <v>0</v>
      </c>
    </row>
    <row r="38" spans="2:13" s="6" customFormat="1" ht="14.4" customHeight="1" x14ac:dyDescent="0.3">
      <c r="C38" s="6" t="s">
        <v>153</v>
      </c>
      <c r="F38" s="41"/>
      <c r="H38" s="25"/>
      <c r="I38" s="53">
        <f ca="1">SUM(I36:I37)</f>
        <v>0</v>
      </c>
      <c r="J38" s="53">
        <f ca="1">SUM(J36:J37)</f>
        <v>0</v>
      </c>
      <c r="K38" s="53">
        <f t="shared" ref="K38:M38" ca="1" si="6">SUM(K36:K37)</f>
        <v>0</v>
      </c>
      <c r="L38" s="53">
        <f t="shared" ca="1" si="6"/>
        <v>0</v>
      </c>
      <c r="M38" s="53">
        <f t="shared" ca="1" si="6"/>
        <v>0</v>
      </c>
    </row>
    <row r="39" spans="2:13" ht="14.4" customHeight="1" x14ac:dyDescent="0.3">
      <c r="H39" s="25"/>
    </row>
    <row r="40" spans="2:13" ht="14.4" customHeight="1" x14ac:dyDescent="0.3">
      <c r="G40" s="25"/>
      <c r="H40" s="25"/>
      <c r="I40" s="25"/>
      <c r="J40" s="25"/>
      <c r="K40" s="25"/>
    </row>
    <row r="41" spans="2:13" ht="15" thickBot="1" x14ac:dyDescent="0.35"/>
    <row r="42" spans="2:13" s="9" customFormat="1" x14ac:dyDescent="0.3">
      <c r="B42" s="8" t="s">
        <v>14</v>
      </c>
      <c r="C42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W 1 x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q W 1 x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t c U w o i k e 4 D g A A A B E A A A A T A B w A R m 9 y b X V s Y X M v U 2 V j d G l v b j E u b S C i G A A o o B Q A A A A A A A A A A A A A A A A A A A A A A A A A A A A r T k 0 u y c z P U w i G 0 I b W A F B L A Q I t A B Q A A g A I A K l t c U x j 2 4 6 S p w A A A P g A A A A S A A A A A A A A A A A A A A A A A A A A A A B D b 2 5 m a W c v U G F j a 2 F n Z S 5 4 b W x Q S w E C L Q A U A A I A C A C p b X F M D 8 r p q 6 Q A A A D p A A A A E w A A A A A A A A A A A A A A A A D z A A A A W 0 N v b n R l b n R f V H l w Z X N d L n h t b F B L A Q I t A B Q A A g A I A K l t c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x T v z G 3 B A C T q w L q W h A P m M z A A A A A A I A A A A A A A N m A A D A A A A A E A A A A L z U w v s N Q k N H r i O 3 e Y 1 x e Q A A A A A A B I A A A K A A A A A Q A A A A o 6 P 7 G M X C j 4 8 P G d s b Y x d N Y V A A A A C z + w X w l 1 m + n 8 c R m G l G D I J Q G X 4 M K T t U 4 H i r 8 P U M x 2 T z A T v z S C V 4 B q 3 X K s l j 0 h c D b w F 2 i x F z l x N x E R M o q 5 d 6 r X S T P c 9 X n z E 5 8 M H r 2 r e G X Q 9 p p R Q A A A C u 6 J q O f S x r Z D U F 8 w 6 x N S e t f V V k A Q = = < / D a t a M a s h u p > 
</file>

<file path=customXml/itemProps1.xml><?xml version="1.0" encoding="utf-8"?>
<ds:datastoreItem xmlns:ds="http://schemas.openxmlformats.org/officeDocument/2006/customXml" ds:itemID="{8246DA60-1C7A-41D7-8BB5-651E87E63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Income</vt:lpstr>
      <vt:lpstr>Interest Exp</vt:lpstr>
      <vt:lpstr>Fixed Assets</vt:lpstr>
      <vt:lpstr>Other Exp</vt:lpstr>
      <vt:lpstr>CAR</vt:lpstr>
      <vt:lpstr>Inc St</vt:lpstr>
      <vt:lpstr>Bal Sh</vt:lpstr>
      <vt:lpstr>CFS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Pushkal</dc:creator>
  <cp:lastModifiedBy>Pushkal</cp:lastModifiedBy>
  <dcterms:created xsi:type="dcterms:W3CDTF">2016-05-11T16:50:04Z</dcterms:created>
  <dcterms:modified xsi:type="dcterms:W3CDTF">2025-09-26T10:15:10Z</dcterms:modified>
</cp:coreProperties>
</file>