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USHKAR\Desktop\"/>
    </mc:Choice>
  </mc:AlternateContent>
  <xr:revisionPtr revIDLastSave="0" documentId="8_{73C39234-254F-4614-84AA-E209EF523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7" i="5" l="1"/>
  <c r="F16" i="5" s="1"/>
  <c r="J15" i="5"/>
  <c r="K15" i="5" s="1"/>
  <c r="C21" i="5"/>
  <c r="C19" i="5"/>
  <c r="F7" i="2"/>
  <c r="C16" i="6"/>
  <c r="C19" i="6" s="1"/>
  <c r="C7" i="6"/>
  <c r="C9" i="6" s="1"/>
  <c r="C12" i="6" s="1"/>
  <c r="F16" i="4"/>
  <c r="E16" i="4"/>
  <c r="D16" i="4"/>
  <c r="C16" i="4"/>
  <c r="C32" i="4" s="1"/>
  <c r="F15" i="4"/>
  <c r="E15" i="4"/>
  <c r="D15" i="4"/>
  <c r="C15" i="4"/>
  <c r="C31" i="4" s="1"/>
  <c r="F14" i="4"/>
  <c r="E14" i="4"/>
  <c r="D14" i="4"/>
  <c r="C14" i="4"/>
  <c r="C30" i="4" s="1"/>
  <c r="F13" i="4"/>
  <c r="E13" i="4"/>
  <c r="D13" i="4"/>
  <c r="C13" i="4"/>
  <c r="C29" i="4" s="1"/>
  <c r="F12" i="4"/>
  <c r="E12" i="4"/>
  <c r="E17" i="4" s="1"/>
  <c r="D23" i="2" s="1"/>
  <c r="D12" i="4"/>
  <c r="C12" i="4"/>
  <c r="C17" i="4" s="1"/>
  <c r="F9" i="4"/>
  <c r="E9" i="4"/>
  <c r="D9" i="4"/>
  <c r="C9" i="4"/>
  <c r="C28" i="4" s="1"/>
  <c r="F8" i="4"/>
  <c r="E8" i="4"/>
  <c r="D8" i="4"/>
  <c r="C8" i="4"/>
  <c r="C25" i="4" s="1"/>
  <c r="F7" i="4"/>
  <c r="F10" i="4" s="1"/>
  <c r="E22" i="2" s="1"/>
  <c r="E7" i="4"/>
  <c r="E10" i="4" s="1"/>
  <c r="D22" i="2" s="1"/>
  <c r="D21" i="2" s="1"/>
  <c r="D7" i="4"/>
  <c r="D10" i="4" s="1"/>
  <c r="C22" i="2" s="1"/>
  <c r="C7" i="4"/>
  <c r="C10" i="4" s="1"/>
  <c r="H15" i="3"/>
  <c r="I15" i="3" s="1"/>
  <c r="J15" i="3" s="1"/>
  <c r="G15" i="3"/>
  <c r="E10" i="3"/>
  <c r="F7" i="3" s="1"/>
  <c r="F9" i="3" s="1"/>
  <c r="F19" i="2" s="1"/>
  <c r="D10" i="3"/>
  <c r="C10" i="3"/>
  <c r="E7" i="3"/>
  <c r="D7" i="3"/>
  <c r="C7" i="3"/>
  <c r="J27" i="2"/>
  <c r="I27" i="2"/>
  <c r="H27" i="2"/>
  <c r="G27" i="2"/>
  <c r="F27" i="2"/>
  <c r="E27" i="2"/>
  <c r="D27" i="2"/>
  <c r="C27" i="2"/>
  <c r="B27" i="2"/>
  <c r="E16" i="2"/>
  <c r="D16" i="2"/>
  <c r="C16" i="2"/>
  <c r="E14" i="2"/>
  <c r="E18" i="2" s="1"/>
  <c r="D14" i="2"/>
  <c r="D8" i="3" s="1"/>
  <c r="C14" i="2"/>
  <c r="C8" i="3" s="1"/>
  <c r="E11" i="2"/>
  <c r="E12" i="2" s="1"/>
  <c r="D11" i="2"/>
  <c r="D12" i="2" s="1"/>
  <c r="C11" i="2"/>
  <c r="C12" i="2" s="1"/>
  <c r="E8" i="2"/>
  <c r="D8" i="2"/>
  <c r="E22" i="4" s="1"/>
  <c r="C8" i="2"/>
  <c r="D22" i="4" s="1"/>
  <c r="E7" i="2"/>
  <c r="D7" i="2"/>
  <c r="E21" i="4" s="1"/>
  <c r="C7" i="2"/>
  <c r="F17" i="4" l="1"/>
  <c r="E23" i="2" s="1"/>
  <c r="E21" i="2" s="1"/>
  <c r="E20" i="2" s="1"/>
  <c r="D17" i="4"/>
  <c r="C23" i="2" s="1"/>
  <c r="C21" i="2" s="1"/>
  <c r="D25" i="4"/>
  <c r="C24" i="4"/>
  <c r="C26" i="4"/>
  <c r="D14" i="3"/>
  <c r="C14" i="3"/>
  <c r="C11" i="6"/>
  <c r="C20" i="5"/>
  <c r="C18" i="6"/>
  <c r="C21" i="6" s="1"/>
  <c r="C15" i="5" s="1"/>
  <c r="E30" i="2"/>
  <c r="C31" i="2"/>
  <c r="E30" i="4"/>
  <c r="E29" i="4"/>
  <c r="G7" i="2"/>
  <c r="D9" i="2"/>
  <c r="E24" i="4"/>
  <c r="E32" i="4"/>
  <c r="C30" i="2"/>
  <c r="G21" i="4"/>
  <c r="D26" i="4"/>
  <c r="E31" i="4"/>
  <c r="D21" i="4"/>
  <c r="C9" i="2"/>
  <c r="C13" i="2" s="1"/>
  <c r="C15" i="2" s="1"/>
  <c r="C32" i="2" s="1"/>
  <c r="E26" i="4"/>
  <c r="E25" i="4"/>
  <c r="E8" i="3"/>
  <c r="E14" i="3" s="1"/>
  <c r="F14" i="3" s="1"/>
  <c r="E28" i="4"/>
  <c r="E28" i="2"/>
  <c r="E31" i="2"/>
  <c r="F19" i="5"/>
  <c r="F20" i="5" s="1"/>
  <c r="H15" i="5"/>
  <c r="G15" i="5" s="1"/>
  <c r="C9" i="3"/>
  <c r="D13" i="2"/>
  <c r="D15" i="2" s="1"/>
  <c r="D17" i="2" s="1"/>
  <c r="D9" i="3"/>
  <c r="F21" i="4"/>
  <c r="F22" i="4"/>
  <c r="C18" i="2"/>
  <c r="D18" i="2"/>
  <c r="D30" i="2"/>
  <c r="D31" i="2"/>
  <c r="E9" i="2"/>
  <c r="E13" i="2" s="1"/>
  <c r="E15" i="2" s="1"/>
  <c r="E17" i="2" s="1"/>
  <c r="D28" i="2"/>
  <c r="C20" i="2" l="1"/>
  <c r="D20" i="2"/>
  <c r="F31" i="2"/>
  <c r="G31" i="2" s="1"/>
  <c r="H31" i="2" s="1"/>
  <c r="I31" i="2" s="1"/>
  <c r="J31" i="2" s="1"/>
  <c r="C17" i="2"/>
  <c r="F30" i="2"/>
  <c r="G30" i="2" s="1"/>
  <c r="H30" i="2" s="1"/>
  <c r="I30" i="2" s="1"/>
  <c r="J30" i="2" s="1"/>
  <c r="G14" i="3"/>
  <c r="F8" i="3"/>
  <c r="F31" i="4"/>
  <c r="F30" i="4"/>
  <c r="F28" i="4"/>
  <c r="F29" i="4"/>
  <c r="F32" i="4"/>
  <c r="F24" i="4"/>
  <c r="H7" i="2"/>
  <c r="H21" i="4"/>
  <c r="G11" i="2"/>
  <c r="G12" i="2" s="1"/>
  <c r="F11" i="2"/>
  <c r="F12" i="2" s="1"/>
  <c r="D29" i="4"/>
  <c r="D28" i="4"/>
  <c r="D32" i="4"/>
  <c r="D24" i="4"/>
  <c r="D31" i="4"/>
  <c r="D30" i="4"/>
  <c r="F26" i="4"/>
  <c r="I26" i="4" s="1"/>
  <c r="F25" i="4"/>
  <c r="H25" i="4" s="1"/>
  <c r="E9" i="3"/>
  <c r="E32" i="2"/>
  <c r="D32" i="2"/>
  <c r="D15" i="3"/>
  <c r="D19" i="2"/>
  <c r="D24" i="2" s="1"/>
  <c r="E7" i="5" s="1"/>
  <c r="C15" i="3"/>
  <c r="C19" i="2"/>
  <c r="C24" i="2" s="1"/>
  <c r="D7" i="5" s="1"/>
  <c r="F8" i="2" l="1"/>
  <c r="G8" i="2"/>
  <c r="H22" i="4" s="1"/>
  <c r="H8" i="4" s="1"/>
  <c r="G32" i="4"/>
  <c r="G16" i="4" s="1"/>
  <c r="G26" i="4"/>
  <c r="G29" i="4"/>
  <c r="H29" i="4" s="1"/>
  <c r="I25" i="4"/>
  <c r="G25" i="4"/>
  <c r="G31" i="4"/>
  <c r="H31" i="4" s="1"/>
  <c r="H8" i="2"/>
  <c r="I22" i="4" s="1"/>
  <c r="H11" i="2"/>
  <c r="H12" i="2" s="1"/>
  <c r="I21" i="4"/>
  <c r="I7" i="2"/>
  <c r="E15" i="3"/>
  <c r="E19" i="2"/>
  <c r="E24" i="2" s="1"/>
  <c r="F7" i="5" s="1"/>
  <c r="H24" i="4"/>
  <c r="I24" i="4"/>
  <c r="J24" i="4"/>
  <c r="K24" i="4"/>
  <c r="G24" i="4"/>
  <c r="G7" i="4" s="1"/>
  <c r="H7" i="4"/>
  <c r="K26" i="4"/>
  <c r="H26" i="4"/>
  <c r="H12" i="4" s="1"/>
  <c r="K25" i="4"/>
  <c r="H32" i="4"/>
  <c r="G22" i="4"/>
  <c r="F9" i="2"/>
  <c r="F13" i="2" s="1"/>
  <c r="J26" i="4"/>
  <c r="F10" i="3"/>
  <c r="G7" i="3" s="1"/>
  <c r="G8" i="3" s="1"/>
  <c r="G14" i="2" s="1"/>
  <c r="G18" i="2" s="1"/>
  <c r="F14" i="2"/>
  <c r="F18" i="2" s="1"/>
  <c r="J25" i="4"/>
  <c r="G30" i="4"/>
  <c r="G28" i="4"/>
  <c r="H28" i="4" s="1"/>
  <c r="G9" i="2"/>
  <c r="G13" i="2" s="1"/>
  <c r="H14" i="3"/>
  <c r="G15" i="2" l="1"/>
  <c r="H13" i="4"/>
  <c r="I29" i="4"/>
  <c r="I13" i="4" s="1"/>
  <c r="H9" i="2"/>
  <c r="H13" i="2" s="1"/>
  <c r="F15" i="2"/>
  <c r="F16" i="2" s="1"/>
  <c r="F17" i="2" s="1"/>
  <c r="G13" i="4"/>
  <c r="I11" i="2"/>
  <c r="I12" i="2" s="1"/>
  <c r="I8" i="2"/>
  <c r="J22" i="4" s="1"/>
  <c r="J21" i="4"/>
  <c r="J7" i="4" s="1"/>
  <c r="J7" i="2"/>
  <c r="I31" i="4"/>
  <c r="I15" i="4" s="1"/>
  <c r="H15" i="4"/>
  <c r="I14" i="3"/>
  <c r="I28" i="4"/>
  <c r="H9" i="4"/>
  <c r="H10" i="4" s="1"/>
  <c r="G22" i="2" s="1"/>
  <c r="H30" i="4"/>
  <c r="H14" i="4" s="1"/>
  <c r="G14" i="4"/>
  <c r="G16" i="2"/>
  <c r="G17" i="2" s="1"/>
  <c r="G12" i="4"/>
  <c r="G8" i="4"/>
  <c r="I7" i="4"/>
  <c r="G9" i="4"/>
  <c r="G9" i="3"/>
  <c r="G19" i="2" s="1"/>
  <c r="H16" i="4"/>
  <c r="I32" i="4"/>
  <c r="I8" i="4"/>
  <c r="I12" i="4"/>
  <c r="G15" i="4"/>
  <c r="J29" i="4" l="1"/>
  <c r="H17" i="4"/>
  <c r="G23" i="2" s="1"/>
  <c r="G21" i="2" s="1"/>
  <c r="G10" i="3"/>
  <c r="H7" i="3" s="1"/>
  <c r="H9" i="3" s="1"/>
  <c r="H19" i="2" s="1"/>
  <c r="I9" i="4"/>
  <c r="I10" i="4" s="1"/>
  <c r="H22" i="2" s="1"/>
  <c r="J28" i="4"/>
  <c r="J9" i="4" s="1"/>
  <c r="K21" i="4"/>
  <c r="K7" i="4" s="1"/>
  <c r="J11" i="2"/>
  <c r="J12" i="2" s="1"/>
  <c r="J8" i="2"/>
  <c r="K22" i="4" s="1"/>
  <c r="K29" i="4"/>
  <c r="J13" i="4"/>
  <c r="I30" i="4"/>
  <c r="J14" i="3"/>
  <c r="G17" i="4"/>
  <c r="F23" i="2" s="1"/>
  <c r="J8" i="4"/>
  <c r="J12" i="4"/>
  <c r="J31" i="4"/>
  <c r="J15" i="4" s="1"/>
  <c r="I16" i="4"/>
  <c r="J32" i="4"/>
  <c r="J16" i="4" s="1"/>
  <c r="G10" i="4"/>
  <c r="F22" i="2" s="1"/>
  <c r="I9" i="2"/>
  <c r="I13" i="2" s="1"/>
  <c r="F21" i="2" l="1"/>
  <c r="F20" i="2" s="1"/>
  <c r="F24" i="2" s="1"/>
  <c r="G7" i="5" s="1"/>
  <c r="G10" i="5" s="1"/>
  <c r="H8" i="3"/>
  <c r="H14" i="2" s="1"/>
  <c r="H18" i="2" s="1"/>
  <c r="K32" i="4"/>
  <c r="K16" i="4" s="1"/>
  <c r="K28" i="4"/>
  <c r="K9" i="4" s="1"/>
  <c r="J10" i="4"/>
  <c r="I22" i="2" s="1"/>
  <c r="K31" i="4"/>
  <c r="K15" i="4" s="1"/>
  <c r="K13" i="4"/>
  <c r="K8" i="4"/>
  <c r="K12" i="4"/>
  <c r="J30" i="4"/>
  <c r="I14" i="4"/>
  <c r="I17" i="4" s="1"/>
  <c r="H23" i="2" s="1"/>
  <c r="H21" i="2" s="1"/>
  <c r="H20" i="2" s="1"/>
  <c r="J9" i="2"/>
  <c r="J13" i="2" s="1"/>
  <c r="G20" i="2"/>
  <c r="G24" i="2" s="1"/>
  <c r="H7" i="5" s="1"/>
  <c r="H10" i="5" s="1"/>
  <c r="H10" i="3" l="1"/>
  <c r="I7" i="3" s="1"/>
  <c r="I8" i="3" s="1"/>
  <c r="I14" i="2" s="1"/>
  <c r="H15" i="2"/>
  <c r="H16" i="2" s="1"/>
  <c r="H17" i="2" s="1"/>
  <c r="H24" i="2" s="1"/>
  <c r="I7" i="5" s="1"/>
  <c r="I10" i="5" s="1"/>
  <c r="K10" i="4"/>
  <c r="J22" i="2" s="1"/>
  <c r="J14" i="4"/>
  <c r="J17" i="4" s="1"/>
  <c r="I23" i="2" s="1"/>
  <c r="I21" i="2" s="1"/>
  <c r="I20" i="2" s="1"/>
  <c r="K30" i="4"/>
  <c r="K14" i="4" s="1"/>
  <c r="K17" i="4" s="1"/>
  <c r="J23" i="2" s="1"/>
  <c r="I9" i="3"/>
  <c r="I19" i="2" s="1"/>
  <c r="J21" i="2" l="1"/>
  <c r="J20" i="2" s="1"/>
  <c r="I10" i="3"/>
  <c r="J7" i="3" s="1"/>
  <c r="I18" i="2"/>
  <c r="I15" i="2"/>
  <c r="I16" i="2" l="1"/>
  <c r="I17" i="2" s="1"/>
  <c r="I24" i="2" s="1"/>
  <c r="J7" i="5" s="1"/>
  <c r="J10" i="5" s="1"/>
  <c r="J9" i="3"/>
  <c r="J19" i="2" s="1"/>
  <c r="J8" i="3"/>
  <c r="J14" i="2" s="1"/>
  <c r="J10" i="3" l="1"/>
  <c r="J18" i="2"/>
  <c r="J15" i="2"/>
  <c r="J16" i="2" l="1"/>
  <c r="J17" i="2"/>
  <c r="J24" i="2" s="1"/>
  <c r="K7" i="5" s="1"/>
  <c r="K10" i="5" s="1"/>
  <c r="C16" i="5" l="1"/>
  <c r="C17" i="5" s="1"/>
  <c r="C13" i="5"/>
  <c r="C18" i="5" s="1"/>
  <c r="C22" i="5" s="1"/>
  <c r="C24" i="5" s="1"/>
  <c r="F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ID#AAAAccCPVgc
kenji    (2022-07-02 07:51:37)
Industry Growth Rate</t>
        </r>
      </text>
    </comment>
    <comment ref="C23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ID#AAAAccCPVgU
kenji    (2022-07-02 07:51:37)
Source: Bloomberg</t>
        </r>
      </text>
    </comment>
    <comment ref="C1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ID#AAAAccCPVgk
kenji    (2022-07-02 07:51:37)
US Corporate Tax Rate</t>
        </r>
      </text>
    </comment>
    <comment ref="C1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ID#AAAAccCPVgs
kenji    (2022-07-02 07:51:37)
Source: Bloomberg</t>
        </r>
      </text>
    </comment>
    <comment ref="C15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ID#AAAAccCPVgo
kenji    (2022-07-02 07:51:37)
Source: Bloomberg</t>
        </r>
      </text>
    </comment>
    <comment ref="C17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<sst xmlns="http://schemas.openxmlformats.org/spreadsheetml/2006/main" count="210" uniqueCount="176">
  <si>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</si>
  <si>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</si>
  <si>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</si>
  <si>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</si>
  <si>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</si>
  <si>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</si>
  <si>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</si>
  <si>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</si>
  <si>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</si>
  <si>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</si>
  <si>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</si>
  <si>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</si>
  <si>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</si>
  <si>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</si>
  <si>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</si>
  <si>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</si>
  <si>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</si>
  <si>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</si>
  <si>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</si>
  <si>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</si>
  <si>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</si>
  <si>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</si>
  <si>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</si>
  <si>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</si>
  <si>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</si>
  <si>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</si>
  <si>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</si>
  <si>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</si>
  <si>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</si>
  <si>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</si>
  <si>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</si>
  <si>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</si>
  <si>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</si>
  <si>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</si>
  <si>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</si>
  <si>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</si>
  <si>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</si>
  <si>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</si>
  <si>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</si>
  <si>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</si>
  <si>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</si>
  <si>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</si>
  <si>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</si>
  <si>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</si>
  <si>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</si>
  <si>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</si>
  <si>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</si>
  <si>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</si>
  <si>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</si>
  <si>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</si>
  <si>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</si>
  <si>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</si>
  <si>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</si>
  <si>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</si>
  <si>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</si>
  <si>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</si>
  <si>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</si>
  <si>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</si>
  <si>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</si>
  <si>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</si>
  <si>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</si>
  <si>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</si>
  <si>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</si>
  <si>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</si>
  <si>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</si>
  <si>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</si>
  <si>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</si>
  <si>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</si>
  <si>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</si>
  <si>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</si>
  <si>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</si>
  <si>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</si>
  <si>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</si>
  <si>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</si>
  <si>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</si>
  <si>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</si>
  <si>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</si>
  <si>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</si>
  <si>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</si>
  <si>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</si>
  <si>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</si>
  <si>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</si>
  <si>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</si>
  <si>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</si>
  <si>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</si>
  <si>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</si>
  <si>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</si>
  <si>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</si>
  <si>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</si>
  <si>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</si>
  <si>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</si>
  <si>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</si>
  <si>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</si>
  <si>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</si>
  <si>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</si>
  <si>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</si>
  <si>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</si>
  <si>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</si>
  <si>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</si>
  <si>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</si>
  <si>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</si>
  <si>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</si>
  <si>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</si>
  <si>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</si>
  <si>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</si>
  <si>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</si>
  <si>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</si>
  <si>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</si>
  <si>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</si>
  <si>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</si>
  <si>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</si>
  <si>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</si>
  <si>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</si>
  <si>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</si>
  <si>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</si>
  <si>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</si>
  <si>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</si>
  <si>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</si>
  <si>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</si>
  <si>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</si>
  <si>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</si>
  <si>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</si>
  <si>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</si>
  <si>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</si>
  <si>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</si>
  <si>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</si>
  <si>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</si>
  <si>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</si>
  <si>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</si>
  <si>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</si>
  <si>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</si>
  <si>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</si>
  <si>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</si>
  <si>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</si>
  <si>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</si>
  <si>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</si>
  <si>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</si>
  <si>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</si>
  <si>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</si>
  <si>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</si>
  <si>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</si>
  <si>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</si>
  <si>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</si>
  <si>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</si>
  <si>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</si>
  <si>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</si>
  <si>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</si>
  <si>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</si>
  <si>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</si>
  <si>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</si>
  <si>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</si>
  <si>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</si>
  <si>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</si>
  <si>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</si>
  <si>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</si>
  <si>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</si>
  <si>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</si>
  <si>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</si>
  <si>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</si>
  <si>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</si>
  <si>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</si>
  <si>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</si>
  <si>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</si>
  <si>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</si>
  <si>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</si>
  <si>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</si>
  <si>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</si>
  <si>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</si>
  <si>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</si>
  <si>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</si>
  <si>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</si>
  <si>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</si>
  <si>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</si>
  <si>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</si>
  <si>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ABC Ltd.</t>
  </si>
  <si>
    <t>Note : Data File Source : "Career Explains"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</si>
</sst>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rgb="FF002060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i/>
      <sz val="9"/>
      <color theme="1" tint="0.34998626667073579"/>
      <name val="Calibri"/>
      <family val="2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0" fontId="5" fillId="0" borderId="0" xfId="0" applyFont="1"/>
    <xf numFmtId="166" fontId="2" fillId="0" borderId="0" xfId="0" applyNumberFormat="1" applyFont="1"/>
    <xf numFmtId="0" fontId="2" fillId="0" borderId="3" xfId="0" applyFont="1" applyBorder="1"/>
    <xf numFmtId="166" fontId="2" fillId="0" borderId="3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2" fillId="0" borderId="0" xfId="0" applyFont="1" applyAlignment="1">
      <alignment horizontal="left"/>
    </xf>
    <xf numFmtId="0" fontId="3" fillId="4" borderId="4" xfId="0" applyFont="1" applyFill="1" applyBorder="1"/>
    <xf numFmtId="166" fontId="3" fillId="4" borderId="4" xfId="0" applyNumberFormat="1" applyFont="1" applyFill="1" applyBorder="1"/>
    <xf numFmtId="0" fontId="2" fillId="5" borderId="1" xfId="0" applyFont="1" applyFill="1" applyBorder="1"/>
    <xf numFmtId="167" fontId="2" fillId="5" borderId="1" xfId="0" applyNumberFormat="1" applyFont="1" applyFill="1" applyBorder="1"/>
    <xf numFmtId="3" fontId="2" fillId="0" borderId="0" xfId="0" applyNumberFormat="1" applyFont="1"/>
    <xf numFmtId="0" fontId="3" fillId="0" borderId="5" xfId="0" applyFont="1" applyBorder="1"/>
    <xf numFmtId="3" fontId="3" fillId="0" borderId="5" xfId="0" applyNumberFormat="1" applyFont="1" applyBorder="1"/>
    <xf numFmtId="167" fontId="2" fillId="0" borderId="0" xfId="0" applyNumberFormat="1" applyFont="1"/>
    <xf numFmtId="3" fontId="2" fillId="5" borderId="1" xfId="0" applyNumberFormat="1" applyFont="1" applyFill="1" applyBorder="1"/>
    <xf numFmtId="168" fontId="2" fillId="5" borderId="1" xfId="0" applyNumberFormat="1" applyFont="1" applyFill="1" applyBorder="1"/>
    <xf numFmtId="9" fontId="7" fillId="0" borderId="0" xfId="0" applyNumberFormat="1" applyFont="1"/>
    <xf numFmtId="4" fontId="2" fillId="0" borderId="0" xfId="0" applyNumberFormat="1" applyFont="1"/>
    <xf numFmtId="10" fontId="2" fillId="2" borderId="1" xfId="0" applyNumberFormat="1" applyFont="1" applyFill="1" applyBorder="1"/>
    <xf numFmtId="4" fontId="2" fillId="2" borderId="1" xfId="0" applyNumberFormat="1" applyFont="1" applyFill="1" applyBorder="1"/>
    <xf numFmtId="4" fontId="4" fillId="3" borderId="1" xfId="0" applyNumberFormat="1" applyFont="1" applyFill="1" applyBorder="1"/>
    <xf numFmtId="0" fontId="2" fillId="0" borderId="5" xfId="0" applyFont="1" applyBorder="1"/>
    <xf numFmtId="3" fontId="2" fillId="0" borderId="5" xfId="0" applyNumberFormat="1" applyFont="1" applyBorder="1"/>
    <xf numFmtId="2" fontId="7" fillId="0" borderId="0" xfId="0" applyNumberFormat="1" applyFont="1"/>
    <xf numFmtId="4" fontId="3" fillId="4" borderId="4" xfId="0" applyNumberFormat="1" applyFont="1" applyFill="1" applyBorder="1"/>
    <xf numFmtId="3" fontId="7" fillId="0" borderId="0" xfId="0" applyNumberFormat="1" applyFont="1"/>
    <xf numFmtId="167" fontId="7" fillId="0" borderId="0" xfId="0" applyNumberFormat="1" applyFont="1"/>
    <xf numFmtId="167" fontId="3" fillId="0" borderId="5" xfId="0" applyNumberFormat="1" applyFont="1" applyBorder="1"/>
    <xf numFmtId="167" fontId="3" fillId="0" borderId="0" xfId="0" applyNumberFormat="1" applyFont="1"/>
    <xf numFmtId="0" fontId="7" fillId="0" borderId="0" xfId="0" applyFont="1"/>
    <xf numFmtId="167" fontId="3" fillId="4" borderId="4" xfId="0" applyNumberFormat="1" applyFont="1" applyFill="1" applyBorder="1"/>
    <xf numFmtId="0" fontId="2" fillId="0" borderId="0" xfId="0" applyFont="1" applyAlignment="1">
      <alignment horizontal="center"/>
    </xf>
    <xf numFmtId="169" fontId="2" fillId="0" borderId="0" xfId="0" applyNumberFormat="1" applyFont="1"/>
    <xf numFmtId="3" fontId="3" fillId="0" borderId="0" xfId="0" applyNumberFormat="1" applyFont="1"/>
    <xf numFmtId="0" fontId="8" fillId="6" borderId="0" xfId="0" applyFont="1" applyFill="1"/>
    <xf numFmtId="0" fontId="8" fillId="0" borderId="0" xfId="0" applyFont="1"/>
    <xf numFmtId="0" fontId="1" fillId="0" borderId="0" xfId="0" applyFont="1"/>
    <xf numFmtId="0" fontId="10" fillId="0" borderId="11" xfId="0" applyFont="1" applyBorder="1" applyAlignment="1">
      <alignment vertical="center"/>
    </xf>
    <xf numFmtId="0" fontId="9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1" fillId="6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4" fillId="3" borderId="9" xfId="0" applyFont="1" applyFill="1" applyBorder="1" applyAlignment="1">
      <alignment horizontal="center" vertical="center" textRotation="90"/>
    </xf>
    <xf numFmtId="0" fontId="6" fillId="0" borderId="10" xfId="0" applyFont="1" applyBorder="1"/>
    <xf numFmtId="0" fontId="6" fillId="0" borderId="11" xfId="0" applyFont="1" applyBorder="1"/>
    <xf numFmtId="0" fontId="9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411480</xdr:colOff>
      <xdr:row>1</xdr:row>
      <xdr:rowOff>15240</xdr:rowOff>
    </xdr:from>
    <xdr:to>
      <xdr:col>10</xdr:col>
      <xdr:colOff>22860</xdr:colOff>
      <xdr:row>2</xdr:row>
      <xdr:rowOff>167640</xdr:rowOff>
    </xdr:to>
    <xdr:pic>
      <xdr:nvPicPr>
        <xdr:cNvPr id="5" name="Graphic 4" descr="Dollar with solid fill">
          <a:extLst>
            <a:ext uri="{FF2B5EF4-FFF2-40B4-BE49-F238E27FC236}">
              <a16:creationId xmlns:a16="http://schemas.microsoft.com/office/drawing/2014/main" id="{DFD25921-13E2-F7C1-E3FC-BCA19FD7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02040" y="76200"/>
          <a:ext cx="327660" cy="327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30480</xdr:rowOff>
    </xdr:from>
    <xdr:to>
      <xdr:col>10</xdr:col>
      <xdr:colOff>15240</xdr:colOff>
      <xdr:row>2</xdr:row>
      <xdr:rowOff>167640</xdr:rowOff>
    </xdr:to>
    <xdr:pic>
      <xdr:nvPicPr>
        <xdr:cNvPr id="2" name="Graphic 1" descr="Dollar with solid fill">
          <a:extLst>
            <a:ext uri="{FF2B5EF4-FFF2-40B4-BE49-F238E27FC236}">
              <a16:creationId xmlns:a16="http://schemas.microsoft.com/office/drawing/2014/main" id="{AD839BDB-9901-4E02-9036-F38216BD2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93180" y="91440"/>
          <a:ext cx="327660" cy="327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312420</xdr:colOff>
      <xdr:row>1</xdr:row>
      <xdr:rowOff>22860</xdr:rowOff>
    </xdr:from>
    <xdr:to>
      <xdr:col>11</xdr:col>
      <xdr:colOff>30480</xdr:colOff>
      <xdr:row>2</xdr:row>
      <xdr:rowOff>160020</xdr:rowOff>
    </xdr:to>
    <xdr:pic>
      <xdr:nvPicPr>
        <xdr:cNvPr id="2" name="Graphic 1" descr="Dollar with solid fill">
          <a:extLst>
            <a:ext uri="{FF2B5EF4-FFF2-40B4-BE49-F238E27FC236}">
              <a16:creationId xmlns:a16="http://schemas.microsoft.com/office/drawing/2014/main" id="{9AE6A686-8FD3-494C-99A4-EC1941275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6260" y="83820"/>
          <a:ext cx="327660" cy="3276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1</xdr:row>
      <xdr:rowOff>30480</xdr:rowOff>
    </xdr:from>
    <xdr:to>
      <xdr:col>11</xdr:col>
      <xdr:colOff>38100</xdr:colOff>
      <xdr:row>2</xdr:row>
      <xdr:rowOff>167640</xdr:rowOff>
    </xdr:to>
    <xdr:pic>
      <xdr:nvPicPr>
        <xdr:cNvPr id="2" name="Graphic 1" descr="Dollar with solid fill">
          <a:extLst>
            <a:ext uri="{FF2B5EF4-FFF2-40B4-BE49-F238E27FC236}">
              <a16:creationId xmlns:a16="http://schemas.microsoft.com/office/drawing/2014/main" id="{ED4333BA-3688-42B6-94E9-126252900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6660" y="91440"/>
          <a:ext cx="327660" cy="3276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320040</xdr:colOff>
      <xdr:row>1</xdr:row>
      <xdr:rowOff>30480</xdr:rowOff>
    </xdr:from>
    <xdr:to>
      <xdr:col>3</xdr:col>
      <xdr:colOff>38100</xdr:colOff>
      <xdr:row>2</xdr:row>
      <xdr:rowOff>167640</xdr:rowOff>
    </xdr:to>
    <xdr:pic>
      <xdr:nvPicPr>
        <xdr:cNvPr id="2" name="Graphic 1" descr="Dollar with solid fill">
          <a:extLst>
            <a:ext uri="{FF2B5EF4-FFF2-40B4-BE49-F238E27FC236}">
              <a16:creationId xmlns:a16="http://schemas.microsoft.com/office/drawing/2014/main" id="{58447EC7-2D51-4D15-87A7-112A3C150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25140" y="91440"/>
          <a:ext cx="327660" cy="327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3"/>
  <sheetViews>
    <sheetView showGridLines="0" tabSelected="1" workbookViewId="0">
      <selection activeCell="L7" sqref="L7"/>
    </sheetView>
  </sheetViews>
  <sheetFormatPr defaultColWidth="14.44140625" defaultRowHeight="15" customHeight="1" x14ac:dyDescent="0.3"/>
  <cols>
    <col min="1" max="1" width="2.33203125" customWidth="1"/>
    <col min="2" max="2" width="45.44140625" customWidth="1"/>
    <col min="3" max="10" width="10.44140625" customWidth="1"/>
    <col min="11" max="26" width="8.88671875" customWidth="1"/>
  </cols>
  <sheetData>
    <row r="1" spans="2:10" ht="4.95" customHeight="1" x14ac:dyDescent="0.3">
      <c r="B1" s="42"/>
      <c r="C1" s="42"/>
      <c r="D1" s="42"/>
      <c r="E1" s="42"/>
      <c r="F1" s="42"/>
      <c r="G1" s="42"/>
      <c r="H1" s="42"/>
      <c r="I1" s="42"/>
      <c r="J1" s="42"/>
    </row>
    <row r="2" spans="2:10" ht="14.25" customHeight="1" x14ac:dyDescent="0.3">
      <c r="B2" s="45" t="s">
        <v>174</v>
      </c>
      <c r="C2" s="41"/>
      <c r="D2" s="41"/>
      <c r="E2" s="41"/>
      <c r="F2" s="41"/>
      <c r="G2" s="41"/>
      <c r="H2" s="41"/>
      <c r="I2" s="41"/>
      <c r="J2" s="41"/>
    </row>
    <row r="3" spans="2:10" ht="14.25" customHeight="1" x14ac:dyDescent="0.3">
      <c r="B3" s="46"/>
      <c r="C3" s="41"/>
      <c r="D3" s="41"/>
      <c r="E3" s="41"/>
      <c r="F3" s="41"/>
      <c r="G3" s="41"/>
      <c r="H3" s="41"/>
      <c r="I3" s="41"/>
      <c r="J3" s="41"/>
    </row>
    <row r="4" spans="2:10" ht="14.25" customHeight="1" x14ac:dyDescent="0.3"/>
    <row r="5" spans="2:10" ht="14.25" customHeight="1" x14ac:dyDescent="0.3">
      <c r="B5" s="2" t="s">
        <v>0</v>
      </c>
      <c r="C5" s="2"/>
      <c r="D5" s="2"/>
      <c r="E5" s="2"/>
      <c r="F5" s="2"/>
      <c r="G5" s="2"/>
      <c r="H5" s="2"/>
      <c r="I5" s="2"/>
      <c r="J5" s="2"/>
    </row>
    <row r="6" spans="2:10" ht="14.25" customHeight="1" x14ac:dyDescent="0.3">
      <c r="B6" s="3" t="s">
        <v>1</v>
      </c>
      <c r="C6" s="4">
        <v>43830</v>
      </c>
      <c r="D6" s="4">
        <v>44196</v>
      </c>
      <c r="E6" s="4">
        <v>44561</v>
      </c>
      <c r="F6" s="5">
        <v>44926</v>
      </c>
      <c r="G6" s="5">
        <v>45291</v>
      </c>
      <c r="H6" s="5">
        <v>45657</v>
      </c>
      <c r="I6" s="5">
        <v>46022</v>
      </c>
      <c r="J6" s="5">
        <v>46387</v>
      </c>
    </row>
    <row r="7" spans="2:10" ht="14.25" customHeight="1" x14ac:dyDescent="0.3">
      <c r="B7" s="6" t="s">
        <v>2</v>
      </c>
      <c r="C7" s="7">
        <f>'Income Statement'!C5</f>
        <v>152703</v>
      </c>
      <c r="D7" s="7">
        <f>'Income Statement'!D5</f>
        <v>166761</v>
      </c>
      <c r="E7" s="7">
        <f>'Income Statement'!E5</f>
        <v>195929</v>
      </c>
      <c r="F7" s="7">
        <f>E7*(1+F28)</f>
        <v>215521.90000000002</v>
      </c>
      <c r="G7" s="7">
        <f t="shared" ref="G7:J7" si="0">F7*(1+G28)</f>
        <v>237074.09000000005</v>
      </c>
      <c r="H7" s="7">
        <f t="shared" si="0"/>
        <v>258410.75810000006</v>
      </c>
      <c r="I7" s="7">
        <f t="shared" si="0"/>
        <v>276499.51116700011</v>
      </c>
      <c r="J7" s="7">
        <f t="shared" si="0"/>
        <v>290324.48672535014</v>
      </c>
    </row>
    <row r="8" spans="2:10" ht="14.25" customHeight="1" x14ac:dyDescent="0.3">
      <c r="B8" s="8" t="s">
        <v>3</v>
      </c>
      <c r="C8" s="9">
        <f>'Income Statement'!C7</f>
        <v>132886</v>
      </c>
      <c r="D8" s="9">
        <f>'Income Statement'!D7</f>
        <v>144939</v>
      </c>
      <c r="E8" s="9">
        <f>'Income Statement'!E7</f>
        <v>170684</v>
      </c>
      <c r="F8" s="9">
        <f>F7*F30</f>
        <v>187541.37989690871</v>
      </c>
      <c r="G8" s="9">
        <f t="shared" ref="G8:J8" si="1">G7*G30</f>
        <v>206295.51788659961</v>
      </c>
      <c r="H8" s="9">
        <f t="shared" si="1"/>
        <v>224862.11449639357</v>
      </c>
      <c r="I8" s="9">
        <f t="shared" si="1"/>
        <v>240602.46251114114</v>
      </c>
      <c r="J8" s="9">
        <f t="shared" si="1"/>
        <v>252632.58563669823</v>
      </c>
    </row>
    <row r="9" spans="2:10" ht="14.25" customHeight="1" x14ac:dyDescent="0.3">
      <c r="B9" s="10" t="s">
        <v>4</v>
      </c>
      <c r="C9" s="11">
        <f t="shared" ref="C9:J9" si="2">C7-C8</f>
        <v>19817</v>
      </c>
      <c r="D9" s="11">
        <f t="shared" si="2"/>
        <v>21822</v>
      </c>
      <c r="E9" s="11">
        <f t="shared" si="2"/>
        <v>25245</v>
      </c>
      <c r="F9" s="11">
        <f t="shared" si="2"/>
        <v>27980.520103091316</v>
      </c>
      <c r="G9" s="11">
        <f t="shared" si="2"/>
        <v>30778.572113400442</v>
      </c>
      <c r="H9" s="11">
        <f t="shared" si="2"/>
        <v>33548.643603606499</v>
      </c>
      <c r="I9" s="11">
        <f t="shared" si="2"/>
        <v>35897.048655858962</v>
      </c>
      <c r="J9" s="11">
        <f t="shared" si="2"/>
        <v>37691.90108865191</v>
      </c>
    </row>
    <row r="10" spans="2:10" ht="14.25" customHeight="1" x14ac:dyDescent="0.3">
      <c r="B10" s="6" t="s">
        <v>5</v>
      </c>
      <c r="C10" s="7"/>
      <c r="D10" s="7"/>
      <c r="E10" s="7"/>
      <c r="F10" s="7"/>
      <c r="G10" s="7"/>
      <c r="H10" s="7"/>
      <c r="I10" s="7"/>
      <c r="J10" s="7"/>
    </row>
    <row r="11" spans="2:10" ht="14.25" customHeight="1" x14ac:dyDescent="0.3">
      <c r="B11" s="6" t="s">
        <v>6</v>
      </c>
      <c r="C11" s="7">
        <f>SUM('Income Statement'!C8,'Income Statement'!C10)</f>
        <v>13588</v>
      </c>
      <c r="D11" s="7">
        <f>SUM('Income Statement'!D8,'Income Statement'!D10)</f>
        <v>14742</v>
      </c>
      <c r="E11" s="7">
        <f>SUM('Income Statement'!E8,'Income Statement'!E10)</f>
        <v>16756</v>
      </c>
      <c r="F11" s="7">
        <f>F7*F31</f>
        <v>18887.32847958626</v>
      </c>
      <c r="G11" s="7">
        <f t="shared" ref="G11:J11" si="3">G7*G31</f>
        <v>20776.061327544889</v>
      </c>
      <c r="H11" s="7">
        <f t="shared" si="3"/>
        <v>22645.906847023929</v>
      </c>
      <c r="I11" s="7">
        <f t="shared" si="3"/>
        <v>24231.120326315606</v>
      </c>
      <c r="J11" s="7">
        <f t="shared" si="3"/>
        <v>25442.676342631388</v>
      </c>
    </row>
    <row r="12" spans="2:10" ht="14.25" customHeight="1" x14ac:dyDescent="0.3">
      <c r="B12" s="8" t="s">
        <v>7</v>
      </c>
      <c r="C12" s="9">
        <f t="shared" ref="C12:E12" si="4">SUM(C11)</f>
        <v>13588</v>
      </c>
      <c r="D12" s="9">
        <f t="shared" si="4"/>
        <v>14742</v>
      </c>
      <c r="E12" s="9">
        <f t="shared" si="4"/>
        <v>16756</v>
      </c>
      <c r="F12" s="9">
        <f>F10+F11</f>
        <v>18887.32847958626</v>
      </c>
      <c r="G12" s="9">
        <f t="shared" ref="G12:J12" si="5">G10+G11</f>
        <v>20776.061327544889</v>
      </c>
      <c r="H12" s="9">
        <f t="shared" si="5"/>
        <v>22645.906847023929</v>
      </c>
      <c r="I12" s="9">
        <f t="shared" si="5"/>
        <v>24231.120326315606</v>
      </c>
      <c r="J12" s="9">
        <f t="shared" si="5"/>
        <v>25442.676342631388</v>
      </c>
    </row>
    <row r="13" spans="2:10" ht="14.25" customHeight="1" x14ac:dyDescent="0.3">
      <c r="B13" s="10" t="s">
        <v>8</v>
      </c>
      <c r="C13" s="11">
        <f t="shared" ref="C13:E13" si="6">C9-C12</f>
        <v>6229</v>
      </c>
      <c r="D13" s="11">
        <f t="shared" si="6"/>
        <v>7080</v>
      </c>
      <c r="E13" s="11">
        <f t="shared" si="6"/>
        <v>8489</v>
      </c>
      <c r="F13" s="11">
        <f>F9-F12</f>
        <v>9093.1916235050558</v>
      </c>
      <c r="G13" s="11">
        <f t="shared" ref="G13:J13" si="7">G9-G12</f>
        <v>10002.510785855553</v>
      </c>
      <c r="H13" s="11">
        <f t="shared" si="7"/>
        <v>10902.73675658257</v>
      </c>
      <c r="I13" s="11">
        <f t="shared" si="7"/>
        <v>11665.928329543356</v>
      </c>
      <c r="J13" s="11">
        <f t="shared" si="7"/>
        <v>12249.224746020522</v>
      </c>
    </row>
    <row r="14" spans="2:10" ht="14.25" customHeight="1" x14ac:dyDescent="0.3">
      <c r="B14" s="8" t="s">
        <v>9</v>
      </c>
      <c r="C14" s="9">
        <f>'Income Statement'!C9</f>
        <v>1492</v>
      </c>
      <c r="D14" s="9">
        <f>'Income Statement'!D9</f>
        <v>1645</v>
      </c>
      <c r="E14" s="9">
        <f>'Income Statement'!E9</f>
        <v>1781</v>
      </c>
      <c r="F14" s="9">
        <f>'Fixed Assets'!F8</f>
        <v>1995.9571154515827</v>
      </c>
      <c r="G14" s="9">
        <f>'Fixed Assets'!G8</f>
        <v>2144.3445116404519</v>
      </c>
      <c r="H14" s="9">
        <f>'Fixed Assets'!H8</f>
        <v>2303.7636174673962</v>
      </c>
      <c r="I14" s="9">
        <f>'Fixed Assets'!I8</f>
        <v>2475.0345741348665</v>
      </c>
      <c r="J14" s="9">
        <f>'Fixed Assets'!J8</f>
        <v>2659.0384954065948</v>
      </c>
    </row>
    <row r="15" spans="2:10" ht="14.25" customHeight="1" x14ac:dyDescent="0.3">
      <c r="B15" s="10" t="s">
        <v>10</v>
      </c>
      <c r="C15" s="11">
        <f t="shared" ref="C15:E15" si="8">C13-C14</f>
        <v>4737</v>
      </c>
      <c r="D15" s="11">
        <f t="shared" si="8"/>
        <v>5435</v>
      </c>
      <c r="E15" s="11">
        <f t="shared" si="8"/>
        <v>6708</v>
      </c>
      <c r="F15" s="11">
        <f>F13-F14</f>
        <v>7097.2345080534733</v>
      </c>
      <c r="G15" s="11">
        <f t="shared" ref="G15:J15" si="9">G13-G14</f>
        <v>7858.1662742151011</v>
      </c>
      <c r="H15" s="11">
        <f t="shared" si="9"/>
        <v>8598.9731391151727</v>
      </c>
      <c r="I15" s="11">
        <f t="shared" si="9"/>
        <v>9190.8937554084896</v>
      </c>
      <c r="J15" s="11">
        <f t="shared" si="9"/>
        <v>9590.1862506139259</v>
      </c>
    </row>
    <row r="16" spans="2:10" ht="14.25" customHeight="1" x14ac:dyDescent="0.3">
      <c r="B16" s="8" t="s">
        <v>11</v>
      </c>
      <c r="C16" s="9">
        <f>'Income Statement'!C16</f>
        <v>1061</v>
      </c>
      <c r="D16" s="9">
        <f>'Income Statement'!D16</f>
        <v>1308</v>
      </c>
      <c r="E16" s="9">
        <f>'Income Statement'!E16</f>
        <v>1601</v>
      </c>
      <c r="F16" s="9">
        <f>F32*F15</f>
        <v>1490.4192466912293</v>
      </c>
      <c r="G16" s="9">
        <f t="shared" ref="G16:J16" si="10">G32*G15</f>
        <v>1650.2149175851712</v>
      </c>
      <c r="H16" s="9">
        <f t="shared" si="10"/>
        <v>1805.7843592141862</v>
      </c>
      <c r="I16" s="9">
        <f t="shared" si="10"/>
        <v>1930.0876886357828</v>
      </c>
      <c r="J16" s="9">
        <f t="shared" si="10"/>
        <v>2013.9391126289245</v>
      </c>
    </row>
    <row r="17" spans="2:10" ht="14.25" customHeight="1" x14ac:dyDescent="0.3">
      <c r="B17" s="10" t="s">
        <v>12</v>
      </c>
      <c r="C17" s="11">
        <f t="shared" ref="C17:E17" si="11">C15-C16</f>
        <v>3676</v>
      </c>
      <c r="D17" s="11">
        <f t="shared" si="11"/>
        <v>4127</v>
      </c>
      <c r="E17" s="11">
        <f t="shared" si="11"/>
        <v>5107</v>
      </c>
      <c r="F17" s="11">
        <f>F15-F16</f>
        <v>5606.8152613622442</v>
      </c>
      <c r="G17" s="11">
        <f t="shared" ref="G17:J17" si="12">G15-G16</f>
        <v>6207.9513566299302</v>
      </c>
      <c r="H17" s="11">
        <f t="shared" si="12"/>
        <v>6793.1887799009864</v>
      </c>
      <c r="I17" s="11">
        <f t="shared" si="12"/>
        <v>7260.8060667727068</v>
      </c>
      <c r="J17" s="11">
        <f t="shared" si="12"/>
        <v>7576.2471379850012</v>
      </c>
    </row>
    <row r="18" spans="2:10" ht="14.25" customHeight="1" x14ac:dyDescent="0.3">
      <c r="B18" s="6" t="s">
        <v>13</v>
      </c>
      <c r="C18" s="7">
        <f t="shared" ref="C18:E18" si="13">C14</f>
        <v>1492</v>
      </c>
      <c r="D18" s="7">
        <f t="shared" si="13"/>
        <v>1645</v>
      </c>
      <c r="E18" s="7">
        <f t="shared" si="13"/>
        <v>1781</v>
      </c>
      <c r="F18" s="7">
        <f>F14</f>
        <v>1995.9571154515827</v>
      </c>
      <c r="G18" s="7">
        <f t="shared" ref="G18:J18" si="14">G14</f>
        <v>2144.3445116404519</v>
      </c>
      <c r="H18" s="7">
        <f t="shared" si="14"/>
        <v>2303.7636174673962</v>
      </c>
      <c r="I18" s="7">
        <f t="shared" si="14"/>
        <v>2475.0345741348665</v>
      </c>
      <c r="J18" s="7">
        <f t="shared" si="14"/>
        <v>2659.0384954065948</v>
      </c>
    </row>
    <row r="19" spans="2:10" ht="14.25" customHeight="1" x14ac:dyDescent="0.3">
      <c r="B19" s="6" t="s">
        <v>14</v>
      </c>
      <c r="C19" s="7">
        <f>'Fixed Assets'!C9</f>
        <v>2701</v>
      </c>
      <c r="D19" s="7">
        <f>'Fixed Assets'!D9</f>
        <v>5350</v>
      </c>
      <c r="E19" s="7">
        <f>'Fixed Assets'!E9</f>
        <v>3568</v>
      </c>
      <c r="F19" s="7">
        <f>'Fixed Assets'!F9</f>
        <v>3957.2999999999997</v>
      </c>
      <c r="G19" s="7">
        <f>'Fixed Assets'!G9</f>
        <v>4251.501432682262</v>
      </c>
      <c r="H19" s="7">
        <f>'Fixed Assets'!H9</f>
        <v>4567.5749708385338</v>
      </c>
      <c r="I19" s="7">
        <f>'Fixed Assets'!I9</f>
        <v>4907.1466738442041</v>
      </c>
      <c r="J19" s="7">
        <f>'Fixed Assets'!J9</f>
        <v>5271.9634888006049</v>
      </c>
    </row>
    <row r="20" spans="2:10" ht="14.25" customHeight="1" x14ac:dyDescent="0.3">
      <c r="B20" s="6" t="s">
        <v>15</v>
      </c>
      <c r="C20" s="7">
        <f>C21-('Net Working Capital'!C10-'Net Working Capital'!C17)</f>
        <v>-691</v>
      </c>
      <c r="D20" s="7">
        <f t="shared" ref="D20:E20" si="15">D21-C21</f>
        <v>-2437</v>
      </c>
      <c r="E20" s="7">
        <f t="shared" si="15"/>
        <v>-1378</v>
      </c>
      <c r="F20" s="7">
        <f>F21-E21</f>
        <v>-244.07865700528419</v>
      </c>
      <c r="G20" s="7">
        <f t="shared" ref="G20:J20" si="16">G21-F21</f>
        <v>-1090.0620821476114</v>
      </c>
      <c r="H20" s="7">
        <f t="shared" si="16"/>
        <v>-1125.2512413718905</v>
      </c>
      <c r="I20" s="7">
        <f t="shared" si="16"/>
        <v>-946.47241027079508</v>
      </c>
      <c r="J20" s="7">
        <f t="shared" si="16"/>
        <v>-777.00864238843133</v>
      </c>
    </row>
    <row r="21" spans="2:10" ht="14.25" customHeight="1" x14ac:dyDescent="0.3">
      <c r="B21" s="12" t="s">
        <v>16</v>
      </c>
      <c r="C21" s="7">
        <f t="shared" ref="C21:E21" si="17">C22-C23</f>
        <v>-7497</v>
      </c>
      <c r="D21" s="7">
        <f t="shared" si="17"/>
        <v>-9934</v>
      </c>
      <c r="E21" s="7">
        <f t="shared" si="17"/>
        <v>-11312</v>
      </c>
      <c r="F21" s="7">
        <f>F22-F23</f>
        <v>-11556.078657005284</v>
      </c>
      <c r="G21" s="7">
        <f t="shared" ref="G21:J21" si="18">G22-G23</f>
        <v>-12646.140739152896</v>
      </c>
      <c r="H21" s="7">
        <f t="shared" si="18"/>
        <v>-13771.391980524786</v>
      </c>
      <c r="I21" s="7">
        <f t="shared" si="18"/>
        <v>-14717.864390795581</v>
      </c>
      <c r="J21" s="7">
        <f t="shared" si="18"/>
        <v>-15494.873033184012</v>
      </c>
    </row>
    <row r="22" spans="2:10" ht="14.25" customHeight="1" x14ac:dyDescent="0.3">
      <c r="B22" s="12" t="s">
        <v>17</v>
      </c>
      <c r="C22" s="7">
        <f>'Net Working Capital'!D10</f>
        <v>14041</v>
      </c>
      <c r="D22" s="7">
        <f>'Net Working Capital'!E10</f>
        <v>14815</v>
      </c>
      <c r="E22" s="7">
        <f>'Net Working Capital'!F10</f>
        <v>17330</v>
      </c>
      <c r="F22" s="7">
        <f>'Net Working Capital'!G10</f>
        <v>19467.228558197166</v>
      </c>
      <c r="G22" s="7">
        <f>'Net Working Capital'!H10</f>
        <v>21611.084325608634</v>
      </c>
      <c r="H22" s="7">
        <f>'Net Working Capital'!I10</f>
        <v>23501.130533592441</v>
      </c>
      <c r="I22" s="7">
        <f>'Net Working Capital'!J10</f>
        <v>25151.585978877938</v>
      </c>
      <c r="J22" s="7">
        <f>'Net Working Capital'!K10</f>
        <v>26375.447393648617</v>
      </c>
    </row>
    <row r="23" spans="2:10" ht="14.25" customHeight="1" x14ac:dyDescent="0.3">
      <c r="B23" s="12" t="s">
        <v>18</v>
      </c>
      <c r="C23" s="7">
        <f>'Net Working Capital'!D17</f>
        <v>21538</v>
      </c>
      <c r="D23" s="7">
        <f>'Net Working Capital'!E17</f>
        <v>24749</v>
      </c>
      <c r="E23" s="7">
        <f>'Net Working Capital'!F17</f>
        <v>28642</v>
      </c>
      <c r="F23" s="7">
        <f>'Net Working Capital'!G17</f>
        <v>31023.307215202451</v>
      </c>
      <c r="G23" s="7">
        <f>'Net Working Capital'!H17</f>
        <v>34257.225064761529</v>
      </c>
      <c r="H23" s="7">
        <f>'Net Working Capital'!I17</f>
        <v>37272.522514117227</v>
      </c>
      <c r="I23" s="7">
        <f>'Net Working Capital'!J17</f>
        <v>39869.450369673519</v>
      </c>
      <c r="J23" s="7">
        <f>'Net Working Capital'!K17</f>
        <v>41870.32042683263</v>
      </c>
    </row>
    <row r="24" spans="2:10" ht="14.25" customHeight="1" x14ac:dyDescent="0.3">
      <c r="B24" s="13" t="s">
        <v>19</v>
      </c>
      <c r="C24" s="14">
        <f t="shared" ref="C24:J24" si="19">C17+C18-C19-C20</f>
        <v>3158</v>
      </c>
      <c r="D24" s="14">
        <f t="shared" si="19"/>
        <v>2859</v>
      </c>
      <c r="E24" s="14">
        <f t="shared" si="19"/>
        <v>4698</v>
      </c>
      <c r="F24" s="14">
        <f t="shared" si="19"/>
        <v>3889.5510338191111</v>
      </c>
      <c r="G24" s="14">
        <f t="shared" si="19"/>
        <v>5190.8565177357323</v>
      </c>
      <c r="H24" s="14">
        <f t="shared" si="19"/>
        <v>5654.6286679017394</v>
      </c>
      <c r="I24" s="14">
        <f t="shared" si="19"/>
        <v>5775.1663773341634</v>
      </c>
      <c r="J24" s="14">
        <f t="shared" si="19"/>
        <v>5740.3307869794216</v>
      </c>
    </row>
    <row r="25" spans="2:10" ht="14.25" customHeight="1" x14ac:dyDescent="0.3"/>
    <row r="26" spans="2:10" ht="14.25" customHeight="1" x14ac:dyDescent="0.3">
      <c r="B26" s="2" t="s">
        <v>20</v>
      </c>
      <c r="C26" s="2"/>
      <c r="D26" s="2"/>
      <c r="E26" s="2"/>
      <c r="F26" s="2"/>
      <c r="G26" s="2"/>
      <c r="H26" s="2"/>
      <c r="I26" s="2"/>
      <c r="J26" s="2"/>
    </row>
    <row r="27" spans="2:10" ht="14.25" customHeight="1" x14ac:dyDescent="0.3">
      <c r="B27" s="3" t="str">
        <f t="shared" ref="B27:J27" si="20">B6</f>
        <v>Fiscal Year</v>
      </c>
      <c r="C27" s="4">
        <f t="shared" si="20"/>
        <v>43830</v>
      </c>
      <c r="D27" s="4">
        <f t="shared" si="20"/>
        <v>44196</v>
      </c>
      <c r="E27" s="4">
        <f t="shared" si="20"/>
        <v>44561</v>
      </c>
      <c r="F27" s="5">
        <f t="shared" si="20"/>
        <v>44926</v>
      </c>
      <c r="G27" s="5">
        <f t="shared" si="20"/>
        <v>45291</v>
      </c>
      <c r="H27" s="5">
        <f t="shared" si="20"/>
        <v>45657</v>
      </c>
      <c r="I27" s="5">
        <f t="shared" si="20"/>
        <v>46022</v>
      </c>
      <c r="J27" s="5">
        <f t="shared" si="20"/>
        <v>46387</v>
      </c>
    </row>
    <row r="28" spans="2:10" ht="14.25" customHeight="1" x14ac:dyDescent="0.3">
      <c r="B28" s="15" t="s">
        <v>21</v>
      </c>
      <c r="C28" s="15"/>
      <c r="D28" s="16">
        <f t="shared" ref="D28:E28" si="21">D7/C7-1</f>
        <v>9.2061059704131587E-2</v>
      </c>
      <c r="E28" s="16">
        <f t="shared" si="21"/>
        <v>0.17490900150514799</v>
      </c>
      <c r="F28" s="16">
        <v>0.1</v>
      </c>
      <c r="G28" s="16">
        <v>0.1</v>
      </c>
      <c r="H28" s="16">
        <v>0.09</v>
      </c>
      <c r="I28" s="16">
        <v>7.0000000000000007E-2</v>
      </c>
      <c r="J28" s="16">
        <v>0.05</v>
      </c>
    </row>
    <row r="29" spans="2:10" ht="14.25" customHeight="1" x14ac:dyDescent="0.3">
      <c r="B29" s="15"/>
      <c r="C29" s="15"/>
      <c r="D29" s="15"/>
      <c r="E29" s="15"/>
      <c r="F29" s="15"/>
      <c r="G29" s="15"/>
      <c r="H29" s="15"/>
      <c r="I29" s="15"/>
      <c r="J29" s="15"/>
    </row>
    <row r="30" spans="2:10" ht="14.25" customHeight="1" x14ac:dyDescent="0.3">
      <c r="B30" s="15" t="s">
        <v>22</v>
      </c>
      <c r="C30" s="16">
        <f t="shared" ref="C30:E30" si="22">C8/C7</f>
        <v>0.87022520841109863</v>
      </c>
      <c r="D30" s="16">
        <f t="shared" si="22"/>
        <v>0.86914206559087559</v>
      </c>
      <c r="E30" s="16">
        <f t="shared" si="22"/>
        <v>0.87115230517177145</v>
      </c>
      <c r="F30" s="16">
        <f t="shared" ref="F30:F31" si="23">AVERAGE(C30:E30)</f>
        <v>0.87017319305791518</v>
      </c>
      <c r="G30" s="16">
        <f t="shared" ref="G30:J30" si="24">F30</f>
        <v>0.87017319305791518</v>
      </c>
      <c r="H30" s="16">
        <f t="shared" si="24"/>
        <v>0.87017319305791518</v>
      </c>
      <c r="I30" s="16">
        <f t="shared" si="24"/>
        <v>0.87017319305791518</v>
      </c>
      <c r="J30" s="16">
        <f t="shared" si="24"/>
        <v>0.87017319305791518</v>
      </c>
    </row>
    <row r="31" spans="2:10" ht="14.25" customHeight="1" x14ac:dyDescent="0.3">
      <c r="B31" s="15" t="s">
        <v>23</v>
      </c>
      <c r="C31" s="16">
        <f t="shared" ref="C31:E31" si="25">C11/C7</f>
        <v>8.8983189590250353E-2</v>
      </c>
      <c r="D31" s="16">
        <f t="shared" si="25"/>
        <v>8.8401964488099741E-2</v>
      </c>
      <c r="E31" s="16">
        <f t="shared" si="25"/>
        <v>8.5520775382919328E-2</v>
      </c>
      <c r="F31" s="16">
        <f t="shared" si="23"/>
        <v>8.7635309820423155E-2</v>
      </c>
      <c r="G31" s="16">
        <f t="shared" ref="G31:J31" si="26">F31</f>
        <v>8.7635309820423155E-2</v>
      </c>
      <c r="H31" s="16">
        <f t="shared" si="26"/>
        <v>8.7635309820423155E-2</v>
      </c>
      <c r="I31" s="16">
        <f t="shared" si="26"/>
        <v>8.7635309820423155E-2</v>
      </c>
      <c r="J31" s="16">
        <f t="shared" si="26"/>
        <v>8.7635309820423155E-2</v>
      </c>
    </row>
    <row r="32" spans="2:10" ht="14.25" customHeight="1" x14ac:dyDescent="0.3">
      <c r="B32" s="15" t="s">
        <v>24</v>
      </c>
      <c r="C32" s="16">
        <f t="shared" ref="C32:E32" si="27">C16/C15</f>
        <v>0.22398142284146083</v>
      </c>
      <c r="D32" s="16">
        <f t="shared" si="27"/>
        <v>0.24066237350505978</v>
      </c>
      <c r="E32" s="16">
        <f t="shared" si="27"/>
        <v>0.23867024448419796</v>
      </c>
      <c r="F32" s="16">
        <v>0.21</v>
      </c>
      <c r="G32" s="16">
        <v>0.21</v>
      </c>
      <c r="H32" s="16">
        <v>0.21</v>
      </c>
      <c r="I32" s="16">
        <v>0.21</v>
      </c>
      <c r="J32" s="16">
        <v>0.21</v>
      </c>
    </row>
    <row r="33" spans="2:2" ht="14.25" customHeight="1" x14ac:dyDescent="0.3"/>
    <row r="34" spans="2:2" ht="14.25" customHeight="1" x14ac:dyDescent="0.3">
      <c r="B34" s="44" t="s">
        <v>175</v>
      </c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1">
    <mergeCell ref="B2:B3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3"/>
  <sheetViews>
    <sheetView showGridLines="0" workbookViewId="0">
      <selection activeCell="H23" sqref="H23"/>
    </sheetView>
  </sheetViews>
  <sheetFormatPr defaultColWidth="14.44140625" defaultRowHeight="15" customHeight="1" x14ac:dyDescent="0.3"/>
  <cols>
    <col min="1" max="1" width="2.33203125" customWidth="1"/>
    <col min="2" max="2" width="27.88671875" customWidth="1"/>
    <col min="3" max="10" width="8.44140625" customWidth="1"/>
    <col min="11" max="26" width="8.88671875" customWidth="1"/>
  </cols>
  <sheetData>
    <row r="1" spans="2:10" ht="4.95" customHeight="1" x14ac:dyDescent="0.3"/>
    <row r="2" spans="2:10" ht="15" customHeight="1" x14ac:dyDescent="0.3">
      <c r="B2" s="47" t="s">
        <v>174</v>
      </c>
      <c r="C2" s="47"/>
      <c r="D2" s="47"/>
      <c r="E2" s="47"/>
      <c r="F2" s="47"/>
      <c r="G2" s="47"/>
      <c r="H2" s="47"/>
      <c r="I2" s="47"/>
      <c r="J2" s="47"/>
    </row>
    <row r="3" spans="2:10" ht="15" customHeight="1" x14ac:dyDescent="0.3">
      <c r="B3" s="47"/>
      <c r="C3" s="47"/>
      <c r="D3" s="47"/>
      <c r="E3" s="47"/>
      <c r="F3" s="47"/>
      <c r="G3" s="47"/>
      <c r="H3" s="47"/>
      <c r="I3" s="47"/>
      <c r="J3" s="47"/>
    </row>
    <row r="4" spans="2:10" ht="14.25" customHeight="1" x14ac:dyDescent="0.3"/>
    <row r="5" spans="2:10" ht="14.25" customHeight="1" x14ac:dyDescent="0.3">
      <c r="B5" s="2" t="s">
        <v>25</v>
      </c>
      <c r="C5" s="2"/>
      <c r="D5" s="2"/>
      <c r="E5" s="2"/>
      <c r="F5" s="2"/>
      <c r="G5" s="2"/>
      <c r="H5" s="2"/>
      <c r="I5" s="2"/>
      <c r="J5" s="2"/>
    </row>
    <row r="6" spans="2:10" ht="14.25" customHeight="1" x14ac:dyDescent="0.3">
      <c r="B6" s="3" t="s">
        <v>1</v>
      </c>
      <c r="C6" s="4">
        <v>43830</v>
      </c>
      <c r="D6" s="4">
        <v>44196</v>
      </c>
      <c r="E6" s="4">
        <v>44561</v>
      </c>
      <c r="F6" s="5">
        <v>44926</v>
      </c>
      <c r="G6" s="5">
        <v>45291</v>
      </c>
      <c r="H6" s="5">
        <v>45657</v>
      </c>
      <c r="I6" s="5">
        <v>46022</v>
      </c>
      <c r="J6" s="5">
        <v>46387</v>
      </c>
    </row>
    <row r="7" spans="2:10" ht="14.25" customHeight="1" x14ac:dyDescent="0.3">
      <c r="B7" s="6" t="s">
        <v>26</v>
      </c>
      <c r="C7" s="17">
        <f>SUM('Balance Sheet'!C11:C12)</f>
        <v>19681</v>
      </c>
      <c r="D7" s="17">
        <f>SUM('Balance Sheet'!D11:D12)</f>
        <v>20890</v>
      </c>
      <c r="E7" s="17">
        <f>SUM('Balance Sheet'!E11:E12)</f>
        <v>24595</v>
      </c>
      <c r="F7" s="17">
        <f>E10</f>
        <v>26382</v>
      </c>
      <c r="G7" s="17">
        <f t="shared" ref="G7:J7" si="0">F10</f>
        <v>28343.342884548416</v>
      </c>
      <c r="H7" s="17">
        <f t="shared" si="0"/>
        <v>30450.499805590225</v>
      </c>
      <c r="I7" s="17">
        <f t="shared" si="0"/>
        <v>32714.311158961362</v>
      </c>
      <c r="J7" s="17">
        <f t="shared" si="0"/>
        <v>35146.4232586707</v>
      </c>
    </row>
    <row r="8" spans="2:10" ht="14.25" customHeight="1" x14ac:dyDescent="0.3">
      <c r="B8" s="6" t="s">
        <v>27</v>
      </c>
      <c r="C8" s="17">
        <f>'Free Cash Flow'!C14</f>
        <v>1492</v>
      </c>
      <c r="D8" s="17">
        <f>'Free Cash Flow'!D14</f>
        <v>1645</v>
      </c>
      <c r="E8" s="17">
        <f>'Free Cash Flow'!E14</f>
        <v>1781</v>
      </c>
      <c r="F8" s="17">
        <f>F14*F7</f>
        <v>1995.9571154515827</v>
      </c>
      <c r="G8" s="17">
        <f t="shared" ref="G8:J8" si="1">G14*G7</f>
        <v>2144.3445116404519</v>
      </c>
      <c r="H8" s="17">
        <f t="shared" si="1"/>
        <v>2303.7636174673962</v>
      </c>
      <c r="I8" s="17">
        <f t="shared" si="1"/>
        <v>2475.0345741348665</v>
      </c>
      <c r="J8" s="17">
        <f t="shared" si="1"/>
        <v>2659.0384954065948</v>
      </c>
    </row>
    <row r="9" spans="2:10" ht="14.25" customHeight="1" x14ac:dyDescent="0.3">
      <c r="B9" s="6" t="s">
        <v>28</v>
      </c>
      <c r="C9" s="17">
        <f t="shared" ref="C9:E9" si="2">C10-C7+C8</f>
        <v>2701</v>
      </c>
      <c r="D9" s="17">
        <f t="shared" si="2"/>
        <v>5350</v>
      </c>
      <c r="E9" s="17">
        <f t="shared" si="2"/>
        <v>3568</v>
      </c>
      <c r="F9" s="17">
        <f>F15*F7</f>
        <v>3957.2999999999997</v>
      </c>
      <c r="G9" s="17">
        <f t="shared" ref="G9:J9" si="3">G15*G7</f>
        <v>4251.501432682262</v>
      </c>
      <c r="H9" s="17">
        <f t="shared" si="3"/>
        <v>4567.5749708385338</v>
      </c>
      <c r="I9" s="17">
        <f t="shared" si="3"/>
        <v>4907.1466738442041</v>
      </c>
      <c r="J9" s="17">
        <f t="shared" si="3"/>
        <v>5271.9634888006049</v>
      </c>
    </row>
    <row r="10" spans="2:10" ht="14.25" customHeight="1" x14ac:dyDescent="0.3">
      <c r="B10" s="18" t="s">
        <v>29</v>
      </c>
      <c r="C10" s="19">
        <f>SUM('Balance Sheet'!D11:D12)</f>
        <v>20890</v>
      </c>
      <c r="D10" s="19">
        <f>SUM('Balance Sheet'!E11:E12)</f>
        <v>24595</v>
      </c>
      <c r="E10" s="19">
        <f>SUM('Balance Sheet'!F11:F12)</f>
        <v>26382</v>
      </c>
      <c r="F10" s="19">
        <f>F7-F8+F9</f>
        <v>28343.342884548416</v>
      </c>
      <c r="G10" s="19">
        <f t="shared" ref="G10:J10" si="4">G7-G8+G9</f>
        <v>30450.499805590225</v>
      </c>
      <c r="H10" s="19">
        <f t="shared" si="4"/>
        <v>32714.311158961362</v>
      </c>
      <c r="I10" s="19">
        <f t="shared" si="4"/>
        <v>35146.4232586707</v>
      </c>
      <c r="J10" s="19">
        <f t="shared" si="4"/>
        <v>37759.348252064709</v>
      </c>
    </row>
    <row r="11" spans="2:10" ht="14.25" customHeight="1" x14ac:dyDescent="0.3">
      <c r="E11" s="17"/>
    </row>
    <row r="12" spans="2:10" ht="14.25" customHeight="1" x14ac:dyDescent="0.3">
      <c r="B12" s="2" t="s">
        <v>20</v>
      </c>
      <c r="C12" s="2"/>
      <c r="D12" s="2"/>
      <c r="E12" s="2"/>
      <c r="F12" s="2"/>
      <c r="G12" s="2"/>
      <c r="H12" s="2"/>
      <c r="I12" s="2"/>
      <c r="J12" s="2"/>
    </row>
    <row r="13" spans="2:10" ht="14.25" customHeight="1" x14ac:dyDescent="0.3">
      <c r="B13" s="3" t="s">
        <v>1</v>
      </c>
      <c r="C13" s="4">
        <v>43830</v>
      </c>
      <c r="D13" s="4">
        <v>44196</v>
      </c>
      <c r="E13" s="4">
        <v>44561</v>
      </c>
      <c r="F13" s="5">
        <v>44926</v>
      </c>
      <c r="G13" s="5">
        <v>45291</v>
      </c>
      <c r="H13" s="5">
        <v>45657</v>
      </c>
      <c r="I13" s="5">
        <v>46022</v>
      </c>
      <c r="J13" s="5">
        <v>46387</v>
      </c>
    </row>
    <row r="14" spans="2:10" ht="14.25" customHeight="1" x14ac:dyDescent="0.3">
      <c r="B14" s="15" t="s">
        <v>30</v>
      </c>
      <c r="C14" s="16">
        <f t="shared" ref="C14:E14" si="5">C8/C7</f>
        <v>7.5809156038819159E-2</v>
      </c>
      <c r="D14" s="16">
        <f t="shared" si="5"/>
        <v>7.8745811393011012E-2</v>
      </c>
      <c r="E14" s="16">
        <f t="shared" si="5"/>
        <v>7.2413092091888592E-2</v>
      </c>
      <c r="F14" s="16">
        <f>AVERAGE(C14:E14)</f>
        <v>7.5656019841239583E-2</v>
      </c>
      <c r="G14" s="16">
        <f t="shared" ref="G14:J14" si="6">F14</f>
        <v>7.5656019841239583E-2</v>
      </c>
      <c r="H14" s="16">
        <f t="shared" si="6"/>
        <v>7.5656019841239583E-2</v>
      </c>
      <c r="I14" s="16">
        <f t="shared" si="6"/>
        <v>7.5656019841239583E-2</v>
      </c>
      <c r="J14" s="16">
        <f t="shared" si="6"/>
        <v>7.5656019841239583E-2</v>
      </c>
    </row>
    <row r="15" spans="2:10" ht="14.25" customHeight="1" x14ac:dyDescent="0.3">
      <c r="B15" s="15" t="s">
        <v>31</v>
      </c>
      <c r="C15" s="16">
        <f t="shared" ref="C15:E15" si="7">C9/C7</f>
        <v>0.13723896143488643</v>
      </c>
      <c r="D15" s="16">
        <f t="shared" si="7"/>
        <v>0.25610339875538535</v>
      </c>
      <c r="E15" s="16">
        <f t="shared" si="7"/>
        <v>0.14507013620654605</v>
      </c>
      <c r="F15" s="16">
        <v>0.15</v>
      </c>
      <c r="G15" s="16">
        <f t="shared" ref="G15:J15" si="8">F15</f>
        <v>0.15</v>
      </c>
      <c r="H15" s="16">
        <f t="shared" si="8"/>
        <v>0.15</v>
      </c>
      <c r="I15" s="16">
        <f t="shared" si="8"/>
        <v>0.15</v>
      </c>
      <c r="J15" s="16">
        <f t="shared" si="8"/>
        <v>0.15</v>
      </c>
    </row>
    <row r="16" spans="2:10" ht="14.25" customHeight="1" x14ac:dyDescent="0.3">
      <c r="C16" s="20"/>
      <c r="D16" s="20"/>
      <c r="E16" s="20"/>
      <c r="F16" s="20"/>
      <c r="G16" s="20"/>
      <c r="H16" s="20"/>
      <c r="I16" s="20"/>
      <c r="J16" s="20"/>
    </row>
    <row r="17" spans="3:10" ht="14.25" customHeight="1" x14ac:dyDescent="0.3">
      <c r="C17" s="20"/>
      <c r="D17" s="20"/>
      <c r="E17" s="20"/>
      <c r="F17" s="20"/>
      <c r="G17" s="20"/>
      <c r="H17" s="20"/>
      <c r="I17" s="20"/>
      <c r="J17" s="20"/>
    </row>
    <row r="18" spans="3:10" ht="14.25" customHeight="1" x14ac:dyDescent="0.3">
      <c r="C18" s="20"/>
      <c r="D18" s="20"/>
      <c r="E18" s="20"/>
      <c r="F18" s="20"/>
      <c r="G18" s="20"/>
      <c r="H18" s="20"/>
      <c r="I18" s="20"/>
      <c r="J18" s="20"/>
    </row>
    <row r="19" spans="3:10" ht="14.25" customHeight="1" x14ac:dyDescent="0.3"/>
    <row r="20" spans="3:10" ht="14.25" customHeight="1" x14ac:dyDescent="0.3"/>
    <row r="21" spans="3:10" ht="14.25" customHeight="1" x14ac:dyDescent="0.3"/>
    <row r="22" spans="3:10" ht="14.25" customHeight="1" x14ac:dyDescent="0.3"/>
    <row r="23" spans="3:10" ht="14.25" customHeight="1" x14ac:dyDescent="0.3"/>
    <row r="24" spans="3:10" ht="14.25" customHeight="1" x14ac:dyDescent="0.3"/>
    <row r="25" spans="3:10" ht="14.25" customHeight="1" x14ac:dyDescent="0.3"/>
    <row r="26" spans="3:10" ht="14.25" customHeight="1" x14ac:dyDescent="0.3"/>
    <row r="27" spans="3:10" ht="14.25" customHeight="1" x14ac:dyDescent="0.3"/>
    <row r="28" spans="3:10" ht="14.25" customHeight="1" x14ac:dyDescent="0.3"/>
    <row r="29" spans="3:10" ht="14.25" customHeight="1" x14ac:dyDescent="0.3"/>
    <row r="30" spans="3:10" ht="14.25" customHeight="1" x14ac:dyDescent="0.3"/>
    <row r="31" spans="3:10" ht="14.25" customHeight="1" x14ac:dyDescent="0.3"/>
    <row r="32" spans="3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1">
    <mergeCell ref="B2:J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3"/>
  <sheetViews>
    <sheetView showGridLines="0" workbookViewId="0">
      <selection activeCell="L3" sqref="L3"/>
    </sheetView>
  </sheetViews>
  <sheetFormatPr defaultColWidth="14.44140625" defaultRowHeight="15" customHeight="1" x14ac:dyDescent="0.3"/>
  <cols>
    <col min="1" max="1" width="2.33203125" customWidth="1"/>
    <col min="2" max="2" width="40.5546875" customWidth="1"/>
    <col min="3" max="3" width="9.5546875" customWidth="1"/>
    <col min="4" max="26" width="8.88671875" customWidth="1"/>
  </cols>
  <sheetData>
    <row r="1" spans="2:11" ht="4.95" customHeight="1" x14ac:dyDescent="0.3"/>
    <row r="2" spans="2:11" ht="15" customHeight="1" x14ac:dyDescent="0.3">
      <c r="B2" s="47" t="s">
        <v>174</v>
      </c>
      <c r="C2" s="47"/>
      <c r="D2" s="47"/>
      <c r="E2" s="47"/>
      <c r="F2" s="47"/>
      <c r="G2" s="47"/>
      <c r="H2" s="47"/>
      <c r="I2" s="47"/>
      <c r="J2" s="47"/>
      <c r="K2" s="47"/>
    </row>
    <row r="3" spans="2:11" ht="15" customHeight="1" x14ac:dyDescent="0.3"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2:11" ht="14.25" customHeight="1" x14ac:dyDescent="0.3"/>
    <row r="5" spans="2:11" ht="14.25" customHeight="1" x14ac:dyDescent="0.3"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</row>
    <row r="6" spans="2:11" ht="14.25" customHeight="1" x14ac:dyDescent="0.3">
      <c r="B6" s="3" t="s">
        <v>1</v>
      </c>
      <c r="C6" s="4">
        <v>43465</v>
      </c>
      <c r="D6" s="4">
        <v>43830</v>
      </c>
      <c r="E6" s="4">
        <v>44196</v>
      </c>
      <c r="F6" s="4">
        <v>44561</v>
      </c>
      <c r="G6" s="5">
        <v>44926</v>
      </c>
      <c r="H6" s="5">
        <v>45291</v>
      </c>
      <c r="I6" s="5">
        <v>45657</v>
      </c>
      <c r="J6" s="5">
        <v>46022</v>
      </c>
      <c r="K6" s="5">
        <v>46387</v>
      </c>
    </row>
    <row r="7" spans="2:11" ht="14.25" customHeight="1" x14ac:dyDescent="0.3">
      <c r="B7" s="6" t="s">
        <v>33</v>
      </c>
      <c r="C7" s="17">
        <f>'Balance Sheet'!C6</f>
        <v>1669</v>
      </c>
      <c r="D7" s="17">
        <f>'Balance Sheet'!D6</f>
        <v>1535</v>
      </c>
      <c r="E7" s="17">
        <f>'Balance Sheet'!E6</f>
        <v>1550</v>
      </c>
      <c r="F7" s="17">
        <f>'Balance Sheet'!F6</f>
        <v>1803</v>
      </c>
      <c r="G7" s="17">
        <f>G21*(G24/360)</f>
        <v>2173.4287864674229</v>
      </c>
      <c r="H7" s="17">
        <f t="shared" ref="H7:K7" si="0">H21*(H24/360)</f>
        <v>2390.7716651141654</v>
      </c>
      <c r="I7" s="17">
        <f t="shared" si="0"/>
        <v>2605.9411149744406</v>
      </c>
      <c r="J7" s="17">
        <f t="shared" si="0"/>
        <v>2788.3569930226517</v>
      </c>
      <c r="K7" s="17">
        <f t="shared" si="0"/>
        <v>2927.7748426737849</v>
      </c>
    </row>
    <row r="8" spans="2:11" ht="14.25" customHeight="1" x14ac:dyDescent="0.3">
      <c r="B8" s="6" t="s">
        <v>34</v>
      </c>
      <c r="C8" s="17">
        <f>'Balance Sheet'!C7</f>
        <v>11040</v>
      </c>
      <c r="D8" s="17">
        <f>'Balance Sheet'!D7</f>
        <v>11395</v>
      </c>
      <c r="E8" s="17">
        <f>'Balance Sheet'!E7</f>
        <v>12242</v>
      </c>
      <c r="F8" s="17">
        <f>'Balance Sheet'!F7</f>
        <v>14215</v>
      </c>
      <c r="G8" s="17">
        <f>G22*(G25/360)</f>
        <v>16088.292808196813</v>
      </c>
      <c r="H8" s="17">
        <f t="shared" ref="H8:K8" si="1">H22*(H25/360)</f>
        <v>17697.122089016499</v>
      </c>
      <c r="I8" s="17">
        <f t="shared" si="1"/>
        <v>19289.863077027981</v>
      </c>
      <c r="J8" s="17">
        <f t="shared" si="1"/>
        <v>20640.153492419944</v>
      </c>
      <c r="K8" s="17">
        <f t="shared" si="1"/>
        <v>21672.161167040944</v>
      </c>
    </row>
    <row r="9" spans="2:11" ht="14.25" customHeight="1" x14ac:dyDescent="0.3">
      <c r="B9" s="6" t="s">
        <v>35</v>
      </c>
      <c r="C9" s="17">
        <f>'Balance Sheet'!C8</f>
        <v>321</v>
      </c>
      <c r="D9" s="17">
        <f>'Balance Sheet'!D8</f>
        <v>1111</v>
      </c>
      <c r="E9" s="17">
        <f>'Balance Sheet'!E8</f>
        <v>1023</v>
      </c>
      <c r="F9" s="17">
        <f>'Balance Sheet'!F8</f>
        <v>1312</v>
      </c>
      <c r="G9" s="17">
        <f>G28*G21</f>
        <v>1205.5069635329301</v>
      </c>
      <c r="H9" s="17">
        <f t="shared" ref="H9:K9" si="2">H28*H21</f>
        <v>1523.1905714779689</v>
      </c>
      <c r="I9" s="17">
        <f t="shared" si="2"/>
        <v>1605.3263415900171</v>
      </c>
      <c r="J9" s="17">
        <f t="shared" si="2"/>
        <v>1723.0754934353442</v>
      </c>
      <c r="K9" s="17">
        <f t="shared" si="2"/>
        <v>1775.5113839338894</v>
      </c>
    </row>
    <row r="10" spans="2:11" ht="14.25" customHeight="1" x14ac:dyDescent="0.3">
      <c r="B10" s="18" t="s">
        <v>17</v>
      </c>
      <c r="C10" s="19">
        <f t="shared" ref="C10:K10" si="3">SUM(C7:C9)</f>
        <v>13030</v>
      </c>
      <c r="D10" s="19">
        <f t="shared" si="3"/>
        <v>14041</v>
      </c>
      <c r="E10" s="19">
        <f t="shared" si="3"/>
        <v>14815</v>
      </c>
      <c r="F10" s="19">
        <f t="shared" si="3"/>
        <v>17330</v>
      </c>
      <c r="G10" s="19">
        <f t="shared" si="3"/>
        <v>19467.228558197166</v>
      </c>
      <c r="H10" s="19">
        <f t="shared" si="3"/>
        <v>21611.084325608634</v>
      </c>
      <c r="I10" s="19">
        <f t="shared" si="3"/>
        <v>23501.130533592441</v>
      </c>
      <c r="J10" s="19">
        <f t="shared" si="3"/>
        <v>25151.585978877938</v>
      </c>
      <c r="K10" s="19">
        <f t="shared" si="3"/>
        <v>26375.447393648617</v>
      </c>
    </row>
    <row r="11" spans="2:11" ht="14.25" customHeight="1" x14ac:dyDescent="0.3"/>
    <row r="12" spans="2:11" ht="14.25" customHeight="1" x14ac:dyDescent="0.3">
      <c r="B12" s="6" t="s">
        <v>36</v>
      </c>
      <c r="C12" s="17">
        <f>'Balance Sheet'!C16</f>
        <v>11237</v>
      </c>
      <c r="D12" s="17">
        <f>'Balance Sheet'!D16</f>
        <v>11679</v>
      </c>
      <c r="E12" s="17">
        <f>'Balance Sheet'!E16</f>
        <v>14172</v>
      </c>
      <c r="F12" s="17">
        <f>'Balance Sheet'!F16</f>
        <v>16278</v>
      </c>
      <c r="G12" s="17">
        <f>G22*(G26/360)</f>
        <v>17454.504998680797</v>
      </c>
      <c r="H12" s="17">
        <f t="shared" ref="H12:K12" si="4">H22*(H26/360)</f>
        <v>19199.955498548879</v>
      </c>
      <c r="I12" s="17">
        <f t="shared" si="4"/>
        <v>20927.951493418277</v>
      </c>
      <c r="J12" s="17">
        <f t="shared" si="4"/>
        <v>22392.908097957559</v>
      </c>
      <c r="K12" s="17">
        <f t="shared" si="4"/>
        <v>23512.55350285544</v>
      </c>
    </row>
    <row r="13" spans="2:11" ht="14.25" customHeight="1" x14ac:dyDescent="0.3">
      <c r="B13" s="6" t="s">
        <v>37</v>
      </c>
      <c r="C13" s="17">
        <f>'Balance Sheet'!C17</f>
        <v>2994</v>
      </c>
      <c r="D13" s="17">
        <f>'Balance Sheet'!D17</f>
        <v>3176</v>
      </c>
      <c r="E13" s="17">
        <f>'Balance Sheet'!E17</f>
        <v>3605</v>
      </c>
      <c r="F13" s="17">
        <f>'Balance Sheet'!F17</f>
        <v>4090</v>
      </c>
      <c r="G13" s="17">
        <f>G29*G21</f>
        <v>4549.6063613377883</v>
      </c>
      <c r="H13" s="17">
        <f t="shared" ref="H13:K13" si="5">H29*H21</f>
        <v>5002.3186498950627</v>
      </c>
      <c r="I13" s="17">
        <f t="shared" si="5"/>
        <v>5472.0173071366407</v>
      </c>
      <c r="J13" s="17">
        <f t="shared" si="5"/>
        <v>5824.4978297899779</v>
      </c>
      <c r="K13" s="17">
        <f t="shared" si="5"/>
        <v>6129.5291082243457</v>
      </c>
    </row>
    <row r="14" spans="2:11" ht="14.25" customHeight="1" x14ac:dyDescent="0.3">
      <c r="B14" s="6" t="s">
        <v>38</v>
      </c>
      <c r="C14" s="17">
        <f>'Balance Sheet'!C18</f>
        <v>1057</v>
      </c>
      <c r="D14" s="17">
        <f>'Balance Sheet'!D18</f>
        <v>1180</v>
      </c>
      <c r="E14" s="17">
        <f>'Balance Sheet'!E18</f>
        <v>1393</v>
      </c>
      <c r="F14" s="17">
        <f>'Balance Sheet'!F18</f>
        <v>1671</v>
      </c>
      <c r="G14" s="17">
        <f>G30*G21</f>
        <v>1728.2294341420902</v>
      </c>
      <c r="H14" s="17">
        <f t="shared" ref="H14:K14" si="6">H30*H21</f>
        <v>1933.8193689159061</v>
      </c>
      <c r="I14" s="17">
        <f t="shared" si="6"/>
        <v>2135.6168665498262</v>
      </c>
      <c r="J14" s="17">
        <f t="shared" si="6"/>
        <v>2278.9686495297124</v>
      </c>
      <c r="K14" s="17">
        <f t="shared" si="6"/>
        <v>2372.1310238452475</v>
      </c>
    </row>
    <row r="15" spans="2:11" ht="14.25" customHeight="1" x14ac:dyDescent="0.3">
      <c r="B15" s="6" t="s">
        <v>39</v>
      </c>
      <c r="C15" s="17">
        <f>'Balance Sheet'!C19</f>
        <v>1624</v>
      </c>
      <c r="D15" s="17">
        <f>'Balance Sheet'!D19</f>
        <v>1711</v>
      </c>
      <c r="E15" s="17">
        <f>'Balance Sheet'!E19</f>
        <v>1851</v>
      </c>
      <c r="F15" s="17">
        <f>'Balance Sheet'!F19</f>
        <v>2042</v>
      </c>
      <c r="G15" s="17">
        <f>G31*G21</f>
        <v>2381.381646728039</v>
      </c>
      <c r="H15" s="17">
        <f t="shared" ref="H15:K15" si="7">H31*H21</f>
        <v>2594.538201980612</v>
      </c>
      <c r="I15" s="17">
        <f t="shared" si="7"/>
        <v>2811.200865981345</v>
      </c>
      <c r="J15" s="17">
        <f t="shared" si="7"/>
        <v>2992.7145384017085</v>
      </c>
      <c r="K15" s="17">
        <f t="shared" si="7"/>
        <v>3171.4870230772426</v>
      </c>
    </row>
    <row r="16" spans="2:11" ht="14.25" customHeight="1" x14ac:dyDescent="0.3">
      <c r="B16" s="6" t="s">
        <v>40</v>
      </c>
      <c r="C16" s="17">
        <f>'Balance Sheet'!C21</f>
        <v>2924</v>
      </c>
      <c r="D16" s="17">
        <f>'Balance Sheet'!D21</f>
        <v>3792</v>
      </c>
      <c r="E16" s="17">
        <f>'Balance Sheet'!E21</f>
        <v>3728</v>
      </c>
      <c r="F16" s="17">
        <f>'Balance Sheet'!F21</f>
        <v>4561</v>
      </c>
      <c r="G16" s="17">
        <f>G32*G21</f>
        <v>4909.5847743137392</v>
      </c>
      <c r="H16" s="17">
        <f t="shared" ref="H16:K16" si="8">H32*H21</f>
        <v>5526.5933454210654</v>
      </c>
      <c r="I16" s="17">
        <f t="shared" si="8"/>
        <v>5925.7359810311355</v>
      </c>
      <c r="J16" s="17">
        <f t="shared" si="8"/>
        <v>6380.3612539945589</v>
      </c>
      <c r="K16" s="17">
        <f t="shared" si="8"/>
        <v>6684.6197688303582</v>
      </c>
    </row>
    <row r="17" spans="2:11" ht="14.25" customHeight="1" x14ac:dyDescent="0.3">
      <c r="B17" s="18" t="s">
        <v>41</v>
      </c>
      <c r="C17" s="19">
        <f t="shared" ref="C17:K17" si="9">SUM(C12:C16)</f>
        <v>19836</v>
      </c>
      <c r="D17" s="19">
        <f t="shared" si="9"/>
        <v>21538</v>
      </c>
      <c r="E17" s="19">
        <f t="shared" si="9"/>
        <v>24749</v>
      </c>
      <c r="F17" s="19">
        <f t="shared" si="9"/>
        <v>28642</v>
      </c>
      <c r="G17" s="19">
        <f t="shared" si="9"/>
        <v>31023.307215202451</v>
      </c>
      <c r="H17" s="19">
        <f t="shared" si="9"/>
        <v>34257.225064761529</v>
      </c>
      <c r="I17" s="19">
        <f t="shared" si="9"/>
        <v>37272.522514117227</v>
      </c>
      <c r="J17" s="19">
        <f t="shared" si="9"/>
        <v>39869.450369673519</v>
      </c>
      <c r="K17" s="19">
        <f t="shared" si="9"/>
        <v>41870.32042683263</v>
      </c>
    </row>
    <row r="18" spans="2:11" ht="14.25" customHeight="1" x14ac:dyDescent="0.3"/>
    <row r="19" spans="2:11" ht="14.25" customHeight="1" x14ac:dyDescent="0.3"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ht="14.25" customHeight="1" x14ac:dyDescent="0.3">
      <c r="B20" s="3" t="s">
        <v>1</v>
      </c>
      <c r="C20" s="4">
        <v>43465</v>
      </c>
      <c r="D20" s="4">
        <v>43830</v>
      </c>
      <c r="E20" s="4">
        <v>44196</v>
      </c>
      <c r="F20" s="4">
        <v>44561</v>
      </c>
      <c r="G20" s="5">
        <v>44926</v>
      </c>
      <c r="H20" s="5">
        <v>45291</v>
      </c>
      <c r="I20" s="5">
        <v>45657</v>
      </c>
      <c r="J20" s="5">
        <v>46022</v>
      </c>
      <c r="K20" s="5">
        <v>46387</v>
      </c>
    </row>
    <row r="21" spans="2:11" ht="14.25" customHeight="1" x14ac:dyDescent="0.3">
      <c r="B21" s="15" t="s">
        <v>2</v>
      </c>
      <c r="C21" s="21">
        <v>141576</v>
      </c>
      <c r="D21" s="21">
        <f>'Free Cash Flow'!C7</f>
        <v>152703</v>
      </c>
      <c r="E21" s="21">
        <f>'Free Cash Flow'!D7</f>
        <v>166761</v>
      </c>
      <c r="F21" s="21">
        <f>'Free Cash Flow'!E7</f>
        <v>195929</v>
      </c>
      <c r="G21" s="21">
        <f>'Free Cash Flow'!F7</f>
        <v>215521.90000000002</v>
      </c>
      <c r="H21" s="21">
        <f>'Free Cash Flow'!G7</f>
        <v>237074.09000000005</v>
      </c>
      <c r="I21" s="21">
        <f>'Free Cash Flow'!H7</f>
        <v>258410.75810000006</v>
      </c>
      <c r="J21" s="21">
        <f>'Free Cash Flow'!I7</f>
        <v>276499.51116700011</v>
      </c>
      <c r="K21" s="21">
        <f>'Free Cash Flow'!J7</f>
        <v>290324.48672535014</v>
      </c>
    </row>
    <row r="22" spans="2:11" ht="14.25" customHeight="1" x14ac:dyDescent="0.3">
      <c r="B22" s="15" t="s">
        <v>3</v>
      </c>
      <c r="C22" s="21">
        <v>123152</v>
      </c>
      <c r="D22" s="21">
        <f>'Free Cash Flow'!C8</f>
        <v>132886</v>
      </c>
      <c r="E22" s="21">
        <f>'Free Cash Flow'!D8</f>
        <v>144939</v>
      </c>
      <c r="F22" s="21">
        <f>'Free Cash Flow'!E8</f>
        <v>170684</v>
      </c>
      <c r="G22" s="21">
        <f>'Free Cash Flow'!F8</f>
        <v>187541.37989690871</v>
      </c>
      <c r="H22" s="21">
        <f>'Free Cash Flow'!G8</f>
        <v>206295.51788659961</v>
      </c>
      <c r="I22" s="21">
        <f>'Free Cash Flow'!H8</f>
        <v>224862.11449639357</v>
      </c>
      <c r="J22" s="21">
        <f>'Free Cash Flow'!I8</f>
        <v>240602.46251114114</v>
      </c>
      <c r="K22" s="21">
        <f>'Free Cash Flow'!J8</f>
        <v>252632.58563669823</v>
      </c>
    </row>
    <row r="23" spans="2:11" ht="14.25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ht="14.25" customHeight="1" x14ac:dyDescent="0.3">
      <c r="B24" s="15" t="s">
        <v>42</v>
      </c>
      <c r="C24" s="22">
        <f>360*(C7/C21)</f>
        <v>4.2439396507882696</v>
      </c>
      <c r="D24" s="22">
        <f t="shared" ref="D24:F24" si="10">360*(D7/D21)</f>
        <v>3.6187894147462725</v>
      </c>
      <c r="E24" s="22">
        <f t="shared" si="10"/>
        <v>3.3461061039451674</v>
      </c>
      <c r="F24" s="22">
        <f t="shared" si="10"/>
        <v>3.3128327098081449</v>
      </c>
      <c r="G24" s="22">
        <f>AVERAGE($C$24:$F$24)</f>
        <v>3.6304169698219635</v>
      </c>
      <c r="H24" s="22">
        <f t="shared" ref="H24:K24" si="11">AVERAGE($C$24:$F$24)</f>
        <v>3.6304169698219635</v>
      </c>
      <c r="I24" s="22">
        <f t="shared" si="11"/>
        <v>3.6304169698219635</v>
      </c>
      <c r="J24" s="22">
        <f t="shared" si="11"/>
        <v>3.6304169698219635</v>
      </c>
      <c r="K24" s="22">
        <f t="shared" si="11"/>
        <v>3.6304169698219635</v>
      </c>
    </row>
    <row r="25" spans="2:11" ht="14.25" customHeight="1" x14ac:dyDescent="0.3">
      <c r="B25" s="15" t="s">
        <v>43</v>
      </c>
      <c r="C25" s="22">
        <f>360*(C8/C22)</f>
        <v>32.272313888527997</v>
      </c>
      <c r="D25" s="22">
        <f t="shared" ref="D25:F25" si="12">360*(D8/D22)</f>
        <v>30.870069081769337</v>
      </c>
      <c r="E25" s="22">
        <f t="shared" si="12"/>
        <v>30.406722828224286</v>
      </c>
      <c r="F25" s="22">
        <f t="shared" si="12"/>
        <v>29.981720606500904</v>
      </c>
      <c r="G25" s="22">
        <f>AVERAGE($C$25:$F$25)</f>
        <v>30.882706601255631</v>
      </c>
      <c r="H25" s="22">
        <f t="shared" ref="H25:K25" si="13">AVERAGE($C$25:$F$25)</f>
        <v>30.882706601255631</v>
      </c>
      <c r="I25" s="22">
        <f t="shared" si="13"/>
        <v>30.882706601255631</v>
      </c>
      <c r="J25" s="22">
        <f t="shared" si="13"/>
        <v>30.882706601255631</v>
      </c>
      <c r="K25" s="22">
        <f t="shared" si="13"/>
        <v>30.882706601255631</v>
      </c>
    </row>
    <row r="26" spans="2:11" ht="14.25" customHeight="1" x14ac:dyDescent="0.3">
      <c r="B26" s="15" t="s">
        <v>44</v>
      </c>
      <c r="C26" s="22">
        <f>360*(C12/C22)</f>
        <v>32.848187605560611</v>
      </c>
      <c r="D26" s="22">
        <f t="shared" ref="D26:F26" si="14">360*(D12/D22)</f>
        <v>31.639450355944192</v>
      </c>
      <c r="E26" s="22">
        <f t="shared" si="14"/>
        <v>35.200463643325811</v>
      </c>
      <c r="F26" s="22">
        <f t="shared" si="14"/>
        <v>34.332919312882282</v>
      </c>
      <c r="G26" s="22">
        <f>AVERAGE($C$26:$F$26)</f>
        <v>33.505255229428229</v>
      </c>
      <c r="H26" s="22">
        <f t="shared" ref="H26:K26" si="15">AVERAGE($C$26:$F$26)</f>
        <v>33.505255229428229</v>
      </c>
      <c r="I26" s="22">
        <f t="shared" si="15"/>
        <v>33.505255229428229</v>
      </c>
      <c r="J26" s="22">
        <f t="shared" si="15"/>
        <v>33.505255229428229</v>
      </c>
      <c r="K26" s="22">
        <f t="shared" si="15"/>
        <v>33.505255229428229</v>
      </c>
    </row>
    <row r="27" spans="2:11" ht="14.25" customHeight="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ht="14.25" customHeight="1" x14ac:dyDescent="0.3">
      <c r="B28" s="15" t="s">
        <v>45</v>
      </c>
      <c r="C28" s="16">
        <f>C9/C21</f>
        <v>2.2673334463468382E-3</v>
      </c>
      <c r="D28" s="16">
        <f t="shared" ref="D28:F28" si="16">D9/D21</f>
        <v>7.2755610564298016E-3</v>
      </c>
      <c r="E28" s="16">
        <f t="shared" si="16"/>
        <v>6.1345278572328063E-3</v>
      </c>
      <c r="F28" s="16">
        <f t="shared" si="16"/>
        <v>6.6963032527088892E-3</v>
      </c>
      <c r="G28" s="16">
        <f>AVERAGE(C28:F28)</f>
        <v>5.5934314031795837E-3</v>
      </c>
      <c r="H28" s="16">
        <f t="shared" ref="H28:J28" si="17">AVERAGE(D28:G28)</f>
        <v>6.42495589238777E-3</v>
      </c>
      <c r="I28" s="16">
        <f t="shared" si="17"/>
        <v>6.2123046013772623E-3</v>
      </c>
      <c r="J28" s="16">
        <f t="shared" si="17"/>
        <v>6.2317487874133763E-3</v>
      </c>
      <c r="K28" s="16">
        <f>AVERAGE(G28:J28)</f>
        <v>6.1156101710894981E-3</v>
      </c>
    </row>
    <row r="29" spans="2:11" ht="14.25" customHeight="1" x14ac:dyDescent="0.3">
      <c r="B29" s="15" t="s">
        <v>46</v>
      </c>
      <c r="C29" s="16">
        <f>C13/C21</f>
        <v>2.1147652144431258E-2</v>
      </c>
      <c r="D29" s="16">
        <f t="shared" ref="D29:F29" si="18">D13/D21</f>
        <v>2.0798543578056751E-2</v>
      </c>
      <c r="E29" s="16">
        <f t="shared" si="18"/>
        <v>2.1617764345380514E-2</v>
      </c>
      <c r="F29" s="16">
        <f t="shared" si="18"/>
        <v>2.0874908767972072E-2</v>
      </c>
      <c r="G29" s="16">
        <f t="shared" ref="G29:G32" si="19">AVERAGE(C29:F29)</f>
        <v>2.1109717208960148E-2</v>
      </c>
      <c r="H29" s="16">
        <f t="shared" ref="H29:H32" si="20">AVERAGE(D29:G29)</f>
        <v>2.1100233475092371E-2</v>
      </c>
      <c r="I29" s="16">
        <f t="shared" ref="I29:I32" si="21">AVERAGE(E29:H29)</f>
        <v>2.117565594935128E-2</v>
      </c>
      <c r="J29" s="16">
        <f t="shared" ref="J29:K32" si="22">AVERAGE(F29:I29)</f>
        <v>2.1065128850343968E-2</v>
      </c>
      <c r="K29" s="16">
        <f t="shared" si="22"/>
        <v>2.1112683870936941E-2</v>
      </c>
    </row>
    <row r="30" spans="2:11" ht="14.25" customHeight="1" x14ac:dyDescent="0.3">
      <c r="B30" s="15" t="s">
        <v>47</v>
      </c>
      <c r="C30" s="16">
        <f>C14/C21</f>
        <v>7.4659546815844489E-3</v>
      </c>
      <c r="D30" s="16">
        <f t="shared" ref="D30:F30" si="23">D14/D21</f>
        <v>7.7274185837868277E-3</v>
      </c>
      <c r="E30" s="16">
        <f t="shared" si="23"/>
        <v>8.3532720480208201E-3</v>
      </c>
      <c r="F30" s="16">
        <f t="shared" si="23"/>
        <v>8.5285996457900564E-3</v>
      </c>
      <c r="G30" s="16">
        <f t="shared" si="19"/>
        <v>8.0188112397955383E-3</v>
      </c>
      <c r="H30" s="16">
        <f t="shared" si="20"/>
        <v>8.1570253793483115E-3</v>
      </c>
      <c r="I30" s="16">
        <f t="shared" si="21"/>
        <v>8.2644270782386807E-3</v>
      </c>
      <c r="J30" s="16">
        <f t="shared" si="22"/>
        <v>8.2422158357931471E-3</v>
      </c>
      <c r="K30" s="16">
        <f t="shared" ref="K30:K32" si="24">AVERAGE(G30:J30)</f>
        <v>8.1706198832939194E-3</v>
      </c>
    </row>
    <row r="31" spans="2:11" ht="14.25" customHeight="1" x14ac:dyDescent="0.3">
      <c r="B31" s="15" t="s">
        <v>48</v>
      </c>
      <c r="C31" s="16">
        <f>C15/C21</f>
        <v>1.1470870769056903E-2</v>
      </c>
      <c r="D31" s="16">
        <f t="shared" ref="D31:F31" si="25">D15/D21</f>
        <v>1.1204756946490901E-2</v>
      </c>
      <c r="E31" s="16">
        <f t="shared" si="25"/>
        <v>1.1099717559861118E-2</v>
      </c>
      <c r="F31" s="16">
        <f t="shared" si="25"/>
        <v>1.0422142714963074E-2</v>
      </c>
      <c r="G31" s="16">
        <f t="shared" si="19"/>
        <v>1.1049371997593E-2</v>
      </c>
      <c r="H31" s="16">
        <f t="shared" si="20"/>
        <v>1.0943997304727022E-2</v>
      </c>
      <c r="I31" s="16">
        <f t="shared" si="21"/>
        <v>1.0878807394286052E-2</v>
      </c>
      <c r="J31" s="16">
        <f t="shared" si="22"/>
        <v>1.0823579852892288E-2</v>
      </c>
      <c r="K31" s="16">
        <f t="shared" si="24"/>
        <v>1.0923939137374591E-2</v>
      </c>
    </row>
    <row r="32" spans="2:11" ht="14.25" customHeight="1" x14ac:dyDescent="0.3">
      <c r="B32" s="15" t="s">
        <v>49</v>
      </c>
      <c r="C32" s="16">
        <f>C16/C21</f>
        <v>2.0653218059558116E-2</v>
      </c>
      <c r="D32" s="16">
        <f t="shared" ref="D32:F32" si="26">D16/D21</f>
        <v>2.4832518025186146E-2</v>
      </c>
      <c r="E32" s="16">
        <f t="shared" si="26"/>
        <v>2.2355346873669503E-2</v>
      </c>
      <c r="F32" s="16">
        <f t="shared" si="26"/>
        <v>2.3278840804577167E-2</v>
      </c>
      <c r="G32" s="16">
        <f t="shared" si="19"/>
        <v>2.2779980940747731E-2</v>
      </c>
      <c r="H32" s="16">
        <f t="shared" si="20"/>
        <v>2.3311671661045138E-2</v>
      </c>
      <c r="I32" s="16">
        <f t="shared" si="21"/>
        <v>2.2931460070009888E-2</v>
      </c>
      <c r="J32" s="16">
        <f t="shared" si="22"/>
        <v>2.3075488369094982E-2</v>
      </c>
      <c r="K32" s="16">
        <f t="shared" si="24"/>
        <v>2.3024650260224433E-2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1">
    <mergeCell ref="B2:K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3"/>
  <sheetViews>
    <sheetView showGridLines="0" workbookViewId="0">
      <selection activeCell="M7" sqref="M7"/>
    </sheetView>
  </sheetViews>
  <sheetFormatPr defaultColWidth="14.44140625" defaultRowHeight="15" customHeight="1" x14ac:dyDescent="0.3"/>
  <cols>
    <col min="1" max="1" width="2.33203125" customWidth="1"/>
    <col min="2" max="2" width="28.5546875" customWidth="1"/>
    <col min="3" max="10" width="9.44140625" customWidth="1"/>
    <col min="11" max="11" width="8.109375" customWidth="1"/>
    <col min="12" max="26" width="8.88671875" customWidth="1"/>
  </cols>
  <sheetData>
    <row r="1" spans="2:11" ht="4.95" customHeight="1" x14ac:dyDescent="0.3"/>
    <row r="2" spans="2:11" ht="15" customHeight="1" x14ac:dyDescent="0.3">
      <c r="B2" s="47" t="s">
        <v>174</v>
      </c>
      <c r="C2" s="47"/>
      <c r="D2" s="47"/>
      <c r="E2" s="47"/>
      <c r="F2" s="47"/>
      <c r="G2" s="47"/>
      <c r="H2" s="47"/>
      <c r="I2" s="47"/>
      <c r="J2" s="47"/>
      <c r="K2" s="47"/>
    </row>
    <row r="3" spans="2:11" ht="15" customHeight="1" x14ac:dyDescent="0.3"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2:11" ht="14.25" customHeight="1" x14ac:dyDescent="0.3"/>
    <row r="5" spans="2:11" ht="14.25" customHeight="1" x14ac:dyDescent="0.3">
      <c r="B5" s="2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2:11" ht="14.25" customHeight="1" x14ac:dyDescent="0.3">
      <c r="B6" s="3" t="s">
        <v>1</v>
      </c>
      <c r="C6" s="4"/>
      <c r="D6" s="4">
        <v>43830</v>
      </c>
      <c r="E6" s="4">
        <v>44196</v>
      </c>
      <c r="F6" s="4">
        <v>44561</v>
      </c>
      <c r="G6" s="5">
        <v>44926</v>
      </c>
      <c r="H6" s="5">
        <v>45291</v>
      </c>
      <c r="I6" s="5">
        <v>45657</v>
      </c>
      <c r="J6" s="5">
        <v>46022</v>
      </c>
      <c r="K6" s="5">
        <v>46387</v>
      </c>
    </row>
    <row r="7" spans="2:11" ht="14.25" customHeight="1" x14ac:dyDescent="0.3">
      <c r="B7" s="6" t="s">
        <v>19</v>
      </c>
      <c r="C7" s="17"/>
      <c r="D7" s="17">
        <f>'Free Cash Flow'!C24</f>
        <v>3158</v>
      </c>
      <c r="E7" s="17">
        <f>'Free Cash Flow'!D24</f>
        <v>2859</v>
      </c>
      <c r="F7" s="17">
        <f>'Free Cash Flow'!E24</f>
        <v>4698</v>
      </c>
      <c r="G7" s="17">
        <f>'Free Cash Flow'!F24</f>
        <v>3889.5510338191111</v>
      </c>
      <c r="H7" s="17">
        <f>'Free Cash Flow'!G24</f>
        <v>5190.8565177357323</v>
      </c>
      <c r="I7" s="17">
        <f>'Free Cash Flow'!H24</f>
        <v>5654.6286679017394</v>
      </c>
      <c r="J7" s="17">
        <f>'Free Cash Flow'!I24</f>
        <v>5775.1663773341634</v>
      </c>
      <c r="K7" s="17">
        <f>'Free Cash Flow'!J24</f>
        <v>5740.3307869794216</v>
      </c>
    </row>
    <row r="8" spans="2:11" ht="14.25" customHeight="1" x14ac:dyDescent="0.3"/>
    <row r="9" spans="2:11" ht="14.25" customHeight="1" x14ac:dyDescent="0.3">
      <c r="B9" s="6" t="s">
        <v>50</v>
      </c>
      <c r="G9" s="6">
        <v>1</v>
      </c>
      <c r="H9" s="6">
        <v>2</v>
      </c>
      <c r="I9" s="6">
        <v>3</v>
      </c>
      <c r="J9" s="6">
        <v>4</v>
      </c>
      <c r="K9" s="6">
        <v>5</v>
      </c>
    </row>
    <row r="10" spans="2:11" ht="14.25" customHeight="1" x14ac:dyDescent="0.3">
      <c r="B10" s="18" t="s">
        <v>51</v>
      </c>
      <c r="C10" s="18"/>
      <c r="D10" s="18"/>
      <c r="E10" s="18"/>
      <c r="F10" s="18"/>
      <c r="G10" s="19">
        <f>G7/(1+$C$15)^G9</f>
        <v>3661.2615778672789</v>
      </c>
      <c r="H10" s="19">
        <f t="shared" ref="H10:K10" si="0">H7/(1+$C$15)^H9</f>
        <v>4599.4043580752259</v>
      </c>
      <c r="I10" s="19">
        <f t="shared" si="0"/>
        <v>4716.2622080930978</v>
      </c>
      <c r="J10" s="19">
        <f t="shared" si="0"/>
        <v>4534.0847754675278</v>
      </c>
      <c r="K10" s="19">
        <f t="shared" si="0"/>
        <v>4242.2214829801305</v>
      </c>
    </row>
    <row r="11" spans="2:11" ht="14.25" customHeight="1" x14ac:dyDescent="0.3"/>
    <row r="12" spans="2:11" ht="14.25" customHeight="1" x14ac:dyDescent="0.3">
      <c r="B12" s="48" t="s">
        <v>52</v>
      </c>
      <c r="C12" s="49"/>
      <c r="E12" s="48" t="s">
        <v>53</v>
      </c>
      <c r="F12" s="50"/>
      <c r="G12" s="50"/>
      <c r="H12" s="50"/>
      <c r="I12" s="50"/>
      <c r="J12" s="50"/>
      <c r="K12" s="49"/>
    </row>
    <row r="13" spans="2:11" ht="14.25" customHeight="1" x14ac:dyDescent="0.3">
      <c r="B13" s="1" t="s">
        <v>54</v>
      </c>
      <c r="C13" s="17">
        <f>SUM(G10:K10)</f>
        <v>21753.23440248326</v>
      </c>
    </row>
    <row r="14" spans="2:11" ht="14.25" customHeight="1" x14ac:dyDescent="0.3">
      <c r="B14" s="1" t="s">
        <v>55</v>
      </c>
      <c r="C14" s="23">
        <v>0.03</v>
      </c>
      <c r="E14" s="1"/>
      <c r="F14" s="1"/>
      <c r="G14" s="48" t="s">
        <v>55</v>
      </c>
      <c r="H14" s="50"/>
      <c r="I14" s="50"/>
      <c r="J14" s="50"/>
      <c r="K14" s="49"/>
    </row>
    <row r="15" spans="2:11" ht="15" customHeight="1" x14ac:dyDescent="0.3">
      <c r="B15" s="1" t="s">
        <v>56</v>
      </c>
      <c r="C15" s="20">
        <f>WACC!C21</f>
        <v>6.2352675736655094E-2</v>
      </c>
      <c r="E15" s="1"/>
      <c r="F15" s="24">
        <f>C24</f>
        <v>280.90015469172181</v>
      </c>
      <c r="G15" s="25">
        <f>H15-0.5%</f>
        <v>1.9999999999999997E-2</v>
      </c>
      <c r="H15" s="25">
        <f>I15-0.5%</f>
        <v>2.4999999999999998E-2</v>
      </c>
      <c r="I15" s="25">
        <v>0.03</v>
      </c>
      <c r="J15" s="25">
        <f>I15+0.5%</f>
        <v>3.4999999999999996E-2</v>
      </c>
      <c r="K15" s="25">
        <f>J15+0.5%</f>
        <v>3.9999999999999994E-2</v>
      </c>
    </row>
    <row r="16" spans="2:11" ht="14.25" customHeight="1" x14ac:dyDescent="0.3">
      <c r="B16" s="1" t="s">
        <v>57</v>
      </c>
      <c r="C16" s="17">
        <f>(K10*(1+C14))/(C15-C14)</f>
        <v>135058.01384208139</v>
      </c>
      <c r="E16" s="51" t="s">
        <v>56</v>
      </c>
      <c r="F16" s="25">
        <f>F17-0.5%</f>
        <v>5.2352675736655099E-2</v>
      </c>
      <c r="G16" s="24">
        <f t="dataTable" ref="G16:K20" dt2D="1" dtr="1" r1="C14" r2="C15"/>
        <v>302.22132005753377</v>
      </c>
      <c r="H16" s="24">
        <v>348.33436918575006</v>
      </c>
      <c r="I16" s="24">
        <v>415.07718526960531</v>
      </c>
      <c r="J16" s="24">
        <v>520.28255150811503</v>
      </c>
      <c r="K16" s="24">
        <v>710.65599669677863</v>
      </c>
    </row>
    <row r="17" spans="2:11" ht="14.25" customHeight="1" x14ac:dyDescent="0.3">
      <c r="B17" s="1" t="s">
        <v>58</v>
      </c>
      <c r="C17" s="17">
        <f>C16/(1+C15)^K9</f>
        <v>99810.625734164583</v>
      </c>
      <c r="D17" s="17"/>
      <c r="E17" s="52"/>
      <c r="F17" s="25">
        <f>F18-0.5%</f>
        <v>5.7352675736655097E-2</v>
      </c>
      <c r="G17" s="24">
        <v>258.96110312027702</v>
      </c>
      <c r="H17" s="26">
        <v>291.31859927408669</v>
      </c>
      <c r="I17" s="26">
        <v>335.50583247641742</v>
      </c>
      <c r="J17" s="26">
        <v>399.46127317341973</v>
      </c>
      <c r="K17" s="24">
        <v>500.27295533288725</v>
      </c>
    </row>
    <row r="18" spans="2:11" ht="14.25" customHeight="1" x14ac:dyDescent="0.3">
      <c r="B18" s="10" t="s">
        <v>59</v>
      </c>
      <c r="C18" s="40">
        <f>C17+C13</f>
        <v>121563.86013664784</v>
      </c>
      <c r="E18" s="52"/>
      <c r="F18" s="25">
        <v>6.2352675736655094E-2</v>
      </c>
      <c r="G18" s="24">
        <v>226.19778484631868</v>
      </c>
      <c r="H18" s="26">
        <v>249.88776151776489</v>
      </c>
      <c r="I18" s="27">
        <v>280.90015469172181</v>
      </c>
      <c r="J18" s="26">
        <v>323.25052206335391</v>
      </c>
      <c r="K18" s="24">
        <v>384.54733140487673</v>
      </c>
    </row>
    <row r="19" spans="2:11" ht="14.25" customHeight="1" x14ac:dyDescent="0.3">
      <c r="B19" s="12" t="s">
        <v>60</v>
      </c>
      <c r="C19" s="17">
        <f>'Balance Sheet'!F4</f>
        <v>11258</v>
      </c>
      <c r="E19" s="52"/>
      <c r="F19" s="25">
        <f>F18+0.5%</f>
        <v>6.7352675736655099E-2</v>
      </c>
      <c r="G19" s="24">
        <v>200.58925101806136</v>
      </c>
      <c r="H19" s="26">
        <v>218.50309480002284</v>
      </c>
      <c r="I19" s="26">
        <v>241.21280485626636</v>
      </c>
      <c r="J19" s="26">
        <v>270.94193742986096</v>
      </c>
      <c r="K19" s="24">
        <v>311.53989061165464</v>
      </c>
    </row>
    <row r="20" spans="2:11" ht="14.25" customHeight="1" x14ac:dyDescent="0.3">
      <c r="B20" s="12" t="s">
        <v>61</v>
      </c>
      <c r="C20" s="17">
        <f>WACC!C7</f>
        <v>7491</v>
      </c>
      <c r="E20" s="53"/>
      <c r="F20" s="25">
        <f>F19+0.5%</f>
        <v>7.2352675736655103E-2</v>
      </c>
      <c r="G20" s="24">
        <v>180.07116095812773</v>
      </c>
      <c r="H20" s="24">
        <v>193.966318748661</v>
      </c>
      <c r="I20" s="24">
        <v>211.14229824617036</v>
      </c>
      <c r="J20" s="24">
        <v>232.91660414433801</v>
      </c>
      <c r="K20" s="24">
        <v>261.42120526612382</v>
      </c>
    </row>
    <row r="21" spans="2:11" ht="14.25" customHeight="1" x14ac:dyDescent="0.3">
      <c r="B21" s="12" t="s">
        <v>62</v>
      </c>
      <c r="C21" s="17">
        <f>'Balance Sheet'!F35</f>
        <v>514</v>
      </c>
    </row>
    <row r="22" spans="2:11" ht="14.25" customHeight="1" x14ac:dyDescent="0.3">
      <c r="B22" s="28" t="s">
        <v>63</v>
      </c>
      <c r="C22" s="29">
        <f>C18+C19-C20-C21</f>
        <v>124816.86013664783</v>
      </c>
    </row>
    <row r="23" spans="2:11" ht="14.25" customHeight="1" x14ac:dyDescent="0.3">
      <c r="B23" s="1" t="s">
        <v>64</v>
      </c>
      <c r="C23" s="30">
        <v>444.346</v>
      </c>
    </row>
    <row r="24" spans="2:11" ht="14.25" customHeight="1" x14ac:dyDescent="0.3">
      <c r="B24" s="13" t="s">
        <v>65</v>
      </c>
      <c r="C24" s="31">
        <f>C22/C23</f>
        <v>280.90015469172181</v>
      </c>
    </row>
    <row r="25" spans="2:11" ht="14.25" customHeight="1" x14ac:dyDescent="0.3"/>
    <row r="26" spans="2:11" ht="14.25" customHeight="1" x14ac:dyDescent="0.3"/>
    <row r="27" spans="2:11" ht="14.25" customHeight="1" x14ac:dyDescent="0.3"/>
    <row r="28" spans="2:11" ht="14.25" customHeight="1" x14ac:dyDescent="0.3"/>
    <row r="29" spans="2:11" ht="14.25" customHeight="1" x14ac:dyDescent="0.3"/>
    <row r="30" spans="2:11" ht="14.25" customHeight="1" x14ac:dyDescent="0.3"/>
    <row r="31" spans="2:11" ht="14.25" customHeight="1" x14ac:dyDescent="0.3"/>
    <row r="32" spans="2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5">
    <mergeCell ref="B2:K3"/>
    <mergeCell ref="B12:C12"/>
    <mergeCell ref="E12:K12"/>
    <mergeCell ref="G14:K14"/>
    <mergeCell ref="E16:E20"/>
  </mergeCells>
  <pageMargins left="0.7" right="0.7" top="0.75" bottom="0.75" header="0" footer="0"/>
  <pageSetup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3"/>
  <sheetViews>
    <sheetView showGridLines="0" workbookViewId="0">
      <selection activeCell="G9" sqref="G9"/>
    </sheetView>
  </sheetViews>
  <sheetFormatPr defaultColWidth="14.44140625" defaultRowHeight="15" customHeight="1" x14ac:dyDescent="0.3"/>
  <cols>
    <col min="1" max="1" width="2.33203125" customWidth="1"/>
    <col min="2" max="2" width="37.109375" customWidth="1"/>
    <col min="3" max="26" width="8.88671875" customWidth="1"/>
  </cols>
  <sheetData>
    <row r="1" spans="2:3" ht="4.95" customHeight="1" x14ac:dyDescent="0.3"/>
    <row r="2" spans="2:3" ht="15" customHeight="1" x14ac:dyDescent="0.3">
      <c r="B2" s="54" t="s">
        <v>174</v>
      </c>
      <c r="C2" s="54"/>
    </row>
    <row r="3" spans="2:3" ht="15" customHeight="1" x14ac:dyDescent="0.3">
      <c r="B3" s="54"/>
      <c r="C3" s="54"/>
    </row>
    <row r="4" spans="2:3" ht="14.25" customHeight="1" x14ac:dyDescent="0.3"/>
    <row r="5" spans="2:3" ht="14.25" customHeight="1" x14ac:dyDescent="0.3">
      <c r="B5" s="48" t="s">
        <v>66</v>
      </c>
      <c r="C5" s="49"/>
    </row>
    <row r="6" spans="2:3" ht="14.25" customHeight="1" x14ac:dyDescent="0.3">
      <c r="B6" s="1" t="s">
        <v>67</v>
      </c>
      <c r="C6" s="32">
        <v>214560</v>
      </c>
    </row>
    <row r="7" spans="2:3" ht="14.25" customHeight="1" x14ac:dyDescent="0.3">
      <c r="B7" s="1" t="s">
        <v>68</v>
      </c>
      <c r="C7" s="17">
        <f>SUM('Balance Sheet'!F20,'Balance Sheet'!F24)</f>
        <v>7491</v>
      </c>
    </row>
    <row r="8" spans="2:3" ht="14.25" customHeight="1" x14ac:dyDescent="0.3">
      <c r="B8" s="1"/>
      <c r="C8" s="1"/>
    </row>
    <row r="9" spans="2:3" ht="14.25" customHeight="1" x14ac:dyDescent="0.3">
      <c r="B9" s="1" t="s">
        <v>69</v>
      </c>
      <c r="C9" s="20">
        <f>-'Income Statement'!E13/C7</f>
        <v>2.2827392871445733E-2</v>
      </c>
    </row>
    <row r="10" spans="2:3" ht="14.25" customHeight="1" x14ac:dyDescent="0.3">
      <c r="B10" s="1" t="s">
        <v>70</v>
      </c>
      <c r="C10" s="33">
        <v>0.21</v>
      </c>
    </row>
    <row r="11" spans="2:3" ht="14.25" customHeight="1" x14ac:dyDescent="0.3">
      <c r="B11" s="1" t="s">
        <v>71</v>
      </c>
      <c r="C11" s="20">
        <f>C7/(SUM(C6:C7))</f>
        <v>3.3735493197508681E-2</v>
      </c>
    </row>
    <row r="12" spans="2:3" ht="14.25" customHeight="1" x14ac:dyDescent="0.3">
      <c r="B12" s="18" t="s">
        <v>72</v>
      </c>
      <c r="C12" s="34">
        <f>C9*(1-C10)</f>
        <v>1.8033640368442131E-2</v>
      </c>
    </row>
    <row r="13" spans="2:3" ht="14.25" customHeight="1" x14ac:dyDescent="0.3">
      <c r="B13" s="10"/>
      <c r="C13" s="35"/>
    </row>
    <row r="14" spans="2:3" ht="14.25" customHeight="1" x14ac:dyDescent="0.3">
      <c r="B14" s="1" t="s">
        <v>73</v>
      </c>
      <c r="C14" s="33">
        <v>3.1E-2</v>
      </c>
    </row>
    <row r="15" spans="2:3" ht="14.25" customHeight="1" x14ac:dyDescent="0.3">
      <c r="B15" s="1" t="s">
        <v>74</v>
      </c>
      <c r="C15" s="33">
        <v>7.8E-2</v>
      </c>
    </row>
    <row r="16" spans="2:3" ht="14.25" customHeight="1" x14ac:dyDescent="0.3">
      <c r="B16" s="1" t="s">
        <v>75</v>
      </c>
      <c r="C16" s="20">
        <f>C15-C14</f>
        <v>4.7E-2</v>
      </c>
    </row>
    <row r="17" spans="2:3" ht="14.25" customHeight="1" x14ac:dyDescent="0.3">
      <c r="B17" s="1" t="s">
        <v>76</v>
      </c>
      <c r="C17" s="36">
        <v>0.7</v>
      </c>
    </row>
    <row r="18" spans="2:3" ht="14.25" customHeight="1" x14ac:dyDescent="0.3">
      <c r="B18" s="1" t="s">
        <v>77</v>
      </c>
      <c r="C18" s="20">
        <f>C6/(SUM(C6:C7))</f>
        <v>0.96626450680249132</v>
      </c>
    </row>
    <row r="19" spans="2:3" ht="14.25" customHeight="1" x14ac:dyDescent="0.3">
      <c r="B19" s="18" t="s">
        <v>78</v>
      </c>
      <c r="C19" s="34">
        <f>C14+C17*(C16)</f>
        <v>6.3899999999999998E-2</v>
      </c>
    </row>
    <row r="20" spans="2:3" ht="14.25" customHeight="1" x14ac:dyDescent="0.3">
      <c r="B20" s="1"/>
      <c r="C20" s="1"/>
    </row>
    <row r="21" spans="2:3" ht="14.25" customHeight="1" x14ac:dyDescent="0.3">
      <c r="B21" s="13" t="s">
        <v>56</v>
      </c>
      <c r="C21" s="37">
        <f>C11*C12 + C18*C19</f>
        <v>6.2352675736655094E-2</v>
      </c>
    </row>
    <row r="22" spans="2:3" ht="14.25" customHeight="1" x14ac:dyDescent="0.3"/>
    <row r="23" spans="2:3" ht="14.25" customHeight="1" x14ac:dyDescent="0.3"/>
    <row r="24" spans="2:3" ht="14.25" customHeight="1" x14ac:dyDescent="0.3"/>
    <row r="25" spans="2:3" ht="14.25" customHeight="1" x14ac:dyDescent="0.3"/>
    <row r="26" spans="2:3" ht="14.25" customHeight="1" x14ac:dyDescent="0.3"/>
    <row r="27" spans="2:3" ht="14.25" customHeight="1" x14ac:dyDescent="0.3"/>
    <row r="28" spans="2:3" ht="14.25" customHeight="1" x14ac:dyDescent="0.3"/>
    <row r="29" spans="2:3" ht="14.25" customHeight="1" x14ac:dyDescent="0.3"/>
    <row r="30" spans="2:3" ht="14.25" customHeight="1" x14ac:dyDescent="0.3"/>
    <row r="31" spans="2:3" ht="14.25" customHeight="1" x14ac:dyDescent="0.3"/>
    <row r="32" spans="2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sheetProtection algorithmName="SHA-512" hashValue="DzPLeAKNWBD07jnCU8qWHyfHlF0R5kTHTCoooJds47bOcqRRVX2+9e1BGY8DkYWBw6g849cjNJVSkL1JjT7kiw==" saltValue="BMvTUzcZ21l/YIIFUNSi5w==" spinCount="100000" sheet="1" objects="1" scenarios="1"/>
  <mergeCells count="2">
    <mergeCell ref="B5:C5"/>
    <mergeCell ref="B2:C3"/>
  </mergeCell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>
      <selection activeCell="B24" sqref="B24"/>
    </sheetView>
  </sheetViews>
  <sheetFormatPr defaultColWidth="14.44140625" defaultRowHeight="15" customHeight="1" x14ac:dyDescent="0.3"/>
  <cols>
    <col min="1" max="1" width="8.88671875" customWidth="1"/>
    <col min="2" max="2" width="69.44140625" customWidth="1"/>
    <col min="3" max="6" width="15.44140625" customWidth="1"/>
    <col min="7" max="26" width="8.88671875" customWidth="1"/>
  </cols>
  <sheetData>
    <row r="1" spans="1:7" ht="14.25" customHeight="1" x14ac:dyDescent="0.3">
      <c r="A1" s="43" t="s">
        <v>174</v>
      </c>
    </row>
    <row r="2" spans="1:7" ht="14.25" customHeight="1" x14ac:dyDescent="0.3">
      <c r="B2" s="6" t="s">
        <v>79</v>
      </c>
    </row>
    <row r="3" spans="1:7" ht="14.25" customHeight="1" x14ac:dyDescent="0.3">
      <c r="C3" s="38" t="s">
        <v>80</v>
      </c>
      <c r="D3" s="38" t="s">
        <v>81</v>
      </c>
      <c r="E3" s="38" t="s">
        <v>82</v>
      </c>
    </row>
    <row r="4" spans="1:7" ht="14.25" customHeight="1" x14ac:dyDescent="0.3">
      <c r="B4" s="6" t="s">
        <v>83</v>
      </c>
    </row>
    <row r="5" spans="1:7" ht="14.25" customHeight="1" x14ac:dyDescent="0.3">
      <c r="B5" s="6" t="s">
        <v>84</v>
      </c>
      <c r="C5" s="39">
        <v>152703</v>
      </c>
      <c r="D5" s="39">
        <v>166761</v>
      </c>
      <c r="E5" s="39">
        <v>195929</v>
      </c>
    </row>
    <row r="6" spans="1:7" ht="14.25" customHeight="1" x14ac:dyDescent="0.3">
      <c r="B6" s="6" t="s">
        <v>85</v>
      </c>
    </row>
    <row r="7" spans="1:7" ht="14.25" customHeight="1" x14ac:dyDescent="0.3">
      <c r="B7" s="6" t="s">
        <v>86</v>
      </c>
      <c r="C7" s="17">
        <v>132886</v>
      </c>
      <c r="D7" s="17">
        <v>144939</v>
      </c>
      <c r="E7" s="17">
        <v>170684</v>
      </c>
    </row>
    <row r="8" spans="1:7" ht="14.25" customHeight="1" x14ac:dyDescent="0.3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1:7" ht="14.25" customHeight="1" x14ac:dyDescent="0.3">
      <c r="B9" s="6" t="s">
        <v>9</v>
      </c>
      <c r="C9" s="17">
        <v>1492</v>
      </c>
      <c r="D9" s="17">
        <v>1645</v>
      </c>
      <c r="E9" s="17">
        <v>1781</v>
      </c>
    </row>
    <row r="10" spans="1:7" ht="14.25" customHeight="1" x14ac:dyDescent="0.3">
      <c r="B10" s="6" t="s">
        <v>88</v>
      </c>
      <c r="C10" s="17">
        <v>86</v>
      </c>
      <c r="D10" s="17">
        <v>55</v>
      </c>
      <c r="E10" s="17">
        <v>76</v>
      </c>
    </row>
    <row r="11" spans="1:7" ht="14.25" customHeight="1" x14ac:dyDescent="0.3">
      <c r="B11" s="6" t="s">
        <v>89</v>
      </c>
      <c r="C11" s="17">
        <v>4737</v>
      </c>
      <c r="D11" s="17">
        <v>5435</v>
      </c>
      <c r="E11" s="17">
        <v>6708</v>
      </c>
    </row>
    <row r="12" spans="1:7" ht="14.25" customHeight="1" x14ac:dyDescent="0.3">
      <c r="B12" s="6" t="s">
        <v>90</v>
      </c>
      <c r="C12" s="17"/>
      <c r="D12" s="17"/>
      <c r="E12" s="17"/>
    </row>
    <row r="13" spans="1:7" ht="14.25" customHeight="1" x14ac:dyDescent="0.3">
      <c r="B13" s="6" t="s">
        <v>91</v>
      </c>
      <c r="C13" s="17">
        <v>-150</v>
      </c>
      <c r="D13" s="17">
        <v>-160</v>
      </c>
      <c r="E13" s="17">
        <v>-171</v>
      </c>
    </row>
    <row r="14" spans="1:7" ht="14.25" customHeight="1" x14ac:dyDescent="0.3">
      <c r="B14" s="6" t="s">
        <v>92</v>
      </c>
      <c r="C14" s="17">
        <v>178</v>
      </c>
      <c r="D14" s="17">
        <v>92</v>
      </c>
      <c r="E14" s="17">
        <v>143</v>
      </c>
    </row>
    <row r="15" spans="1:7" ht="14.25" customHeight="1" x14ac:dyDescent="0.3">
      <c r="B15" s="6" t="s">
        <v>93</v>
      </c>
      <c r="C15" s="17">
        <v>4765</v>
      </c>
      <c r="D15" s="17">
        <v>5367</v>
      </c>
      <c r="E15" s="17">
        <v>6680</v>
      </c>
    </row>
    <row r="16" spans="1:7" ht="14.25" customHeight="1" x14ac:dyDescent="0.3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 x14ac:dyDescent="0.3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 x14ac:dyDescent="0.3">
      <c r="C18" s="17"/>
      <c r="D18" s="17"/>
      <c r="E18" s="17"/>
    </row>
    <row r="19" spans="2:6" ht="14.25" customHeight="1" x14ac:dyDescent="0.3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 x14ac:dyDescent="0.3">
      <c r="C20" s="17"/>
      <c r="D20" s="17"/>
      <c r="E20" s="17"/>
    </row>
    <row r="21" spans="2:6" ht="14.25" customHeight="1" x14ac:dyDescent="0.3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 x14ac:dyDescent="0.3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 x14ac:dyDescent="0.3">
      <c r="D23" s="24"/>
      <c r="E23" s="24"/>
      <c r="F23" s="24"/>
    </row>
    <row r="24" spans="2:6" ht="14.25" customHeight="1" x14ac:dyDescent="0.3">
      <c r="B24" s="44" t="s">
        <v>175</v>
      </c>
      <c r="D24" s="17"/>
      <c r="E24" s="17"/>
      <c r="F24" s="17"/>
    </row>
    <row r="25" spans="2:6" ht="14.25" customHeight="1" x14ac:dyDescent="0.3">
      <c r="D25" s="17"/>
      <c r="E25" s="17"/>
      <c r="F25" s="17"/>
    </row>
    <row r="26" spans="2:6" ht="14.25" customHeight="1" x14ac:dyDescent="0.3">
      <c r="D26" s="17"/>
      <c r="E26" s="17"/>
      <c r="F26" s="17"/>
    </row>
    <row r="27" spans="2:6" ht="14.25" customHeight="1" x14ac:dyDescent="0.3">
      <c r="D27" s="17"/>
      <c r="E27" s="17"/>
      <c r="F27" s="17"/>
    </row>
    <row r="28" spans="2:6" ht="14.25" customHeight="1" x14ac:dyDescent="0.3">
      <c r="D28" s="17"/>
      <c r="E28" s="17"/>
      <c r="F28" s="17"/>
    </row>
    <row r="29" spans="2:6" ht="14.25" customHeight="1" x14ac:dyDescent="0.3">
      <c r="D29" s="17"/>
      <c r="E29" s="17"/>
      <c r="F29" s="17"/>
    </row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topLeftCell="A31" workbookViewId="0">
      <selection activeCell="B39" sqref="B39"/>
    </sheetView>
  </sheetViews>
  <sheetFormatPr defaultColWidth="14.44140625" defaultRowHeight="15" customHeight="1" x14ac:dyDescent="0.3"/>
  <cols>
    <col min="1" max="1" width="8.88671875" customWidth="1"/>
    <col min="2" max="2" width="104.88671875" customWidth="1"/>
    <col min="3" max="5" width="11.88671875" customWidth="1"/>
    <col min="6" max="6" width="11.5546875" customWidth="1"/>
    <col min="7" max="26" width="8.88671875" customWidth="1"/>
  </cols>
  <sheetData>
    <row r="1" spans="1:6" ht="14.25" customHeight="1" x14ac:dyDescent="0.3">
      <c r="A1" t="s">
        <v>174</v>
      </c>
    </row>
    <row r="2" spans="1:6" ht="14.25" customHeight="1" x14ac:dyDescent="0.3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1:6" ht="14.25" customHeight="1" x14ac:dyDescent="0.3">
      <c r="B3" s="6" t="s">
        <v>101</v>
      </c>
    </row>
    <row r="4" spans="1:6" ht="14.25" customHeight="1" x14ac:dyDescent="0.3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1:6" ht="14.25" customHeight="1" x14ac:dyDescent="0.3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1:6" ht="14.25" customHeight="1" x14ac:dyDescent="0.3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1:6" ht="14.25" customHeight="1" x14ac:dyDescent="0.3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1:6" ht="14.25" customHeight="1" x14ac:dyDescent="0.3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1:6" ht="14.25" customHeight="1" x14ac:dyDescent="0.3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1:6" ht="14.25" customHeight="1" x14ac:dyDescent="0.3">
      <c r="B10" s="6" t="s">
        <v>108</v>
      </c>
      <c r="C10" s="17"/>
      <c r="D10" s="17"/>
      <c r="E10" s="17"/>
      <c r="F10" s="17"/>
    </row>
    <row r="11" spans="1:6" ht="14.25" customHeight="1" x14ac:dyDescent="0.3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1:6" ht="14.25" customHeight="1" x14ac:dyDescent="0.3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1:6" ht="14.25" customHeight="1" x14ac:dyDescent="0.3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1:6" ht="14.25" customHeight="1" x14ac:dyDescent="0.3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1:6" ht="14.25" customHeight="1" x14ac:dyDescent="0.3">
      <c r="B15" s="6" t="s">
        <v>113</v>
      </c>
      <c r="C15" s="17"/>
      <c r="D15" s="17"/>
      <c r="E15" s="17"/>
      <c r="F15" s="17"/>
    </row>
    <row r="16" spans="1:6" ht="14.25" customHeight="1" x14ac:dyDescent="0.3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3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3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3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3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3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3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3">
      <c r="B23" s="6" t="s">
        <v>121</v>
      </c>
      <c r="C23" s="17"/>
      <c r="D23" s="17"/>
      <c r="E23" s="17"/>
      <c r="F23" s="17"/>
    </row>
    <row r="24" spans="2:6" ht="14.25" customHeight="1" x14ac:dyDescent="0.3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3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3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3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3">
      <c r="B28" s="6" t="s">
        <v>126</v>
      </c>
      <c r="C28" s="17"/>
      <c r="D28" s="17"/>
      <c r="E28" s="17"/>
      <c r="F28" s="17"/>
    </row>
    <row r="29" spans="2:6" ht="14.25" customHeight="1" x14ac:dyDescent="0.3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3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3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3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3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3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3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3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3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3"/>
    <row r="39" spans="2:6" ht="14.25" customHeight="1" x14ac:dyDescent="0.3">
      <c r="B39" s="44" t="s">
        <v>175</v>
      </c>
    </row>
    <row r="40" spans="2:6" ht="14.25" customHeight="1" x14ac:dyDescent="0.3"/>
    <row r="41" spans="2:6" ht="14.25" customHeight="1" x14ac:dyDescent="0.3"/>
    <row r="42" spans="2:6" ht="14.25" customHeight="1" x14ac:dyDescent="0.3"/>
    <row r="43" spans="2:6" ht="14.25" customHeight="1" x14ac:dyDescent="0.3"/>
    <row r="44" spans="2:6" ht="14.25" customHeight="1" x14ac:dyDescent="0.3"/>
    <row r="45" spans="2:6" ht="14.25" customHeight="1" x14ac:dyDescent="0.3"/>
    <row r="46" spans="2:6" ht="14.25" customHeight="1" x14ac:dyDescent="0.3"/>
    <row r="47" spans="2:6" ht="14.25" customHeight="1" x14ac:dyDescent="0.3"/>
    <row r="48" spans="2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topLeftCell="A34" workbookViewId="0">
      <selection activeCell="B44" sqref="B44"/>
    </sheetView>
  </sheetViews>
  <sheetFormatPr defaultColWidth="14.44140625" defaultRowHeight="15" customHeight="1" x14ac:dyDescent="0.3"/>
  <cols>
    <col min="1" max="1" width="8.88671875" customWidth="1"/>
    <col min="2" max="2" width="101.44140625" customWidth="1"/>
    <col min="3" max="5" width="15.44140625" customWidth="1"/>
    <col min="6" max="26" width="8.88671875" customWidth="1"/>
  </cols>
  <sheetData>
    <row r="1" spans="1:5" ht="14.25" customHeight="1" x14ac:dyDescent="0.3">
      <c r="A1" t="s">
        <v>174</v>
      </c>
    </row>
    <row r="2" spans="1:5" ht="14.25" customHeight="1" x14ac:dyDescent="0.3">
      <c r="B2" s="6" t="s">
        <v>136</v>
      </c>
    </row>
    <row r="3" spans="1:5" ht="14.25" customHeight="1" x14ac:dyDescent="0.3">
      <c r="C3" s="6" t="s">
        <v>80</v>
      </c>
      <c r="D3" s="6" t="s">
        <v>81</v>
      </c>
      <c r="E3" s="6" t="s">
        <v>82</v>
      </c>
    </row>
    <row r="4" spans="1:5" ht="14.25" customHeight="1" x14ac:dyDescent="0.3">
      <c r="B4" s="6" t="s">
        <v>137</v>
      </c>
    </row>
    <row r="5" spans="1:5" ht="14.25" customHeight="1" x14ac:dyDescent="0.3">
      <c r="B5" s="6" t="s">
        <v>138</v>
      </c>
      <c r="C5" s="6">
        <v>3704</v>
      </c>
      <c r="D5" s="6">
        <v>4059</v>
      </c>
      <c r="E5" s="6">
        <v>5079</v>
      </c>
    </row>
    <row r="6" spans="1:5" ht="14.25" customHeight="1" x14ac:dyDescent="0.3">
      <c r="B6" s="6" t="s">
        <v>139</v>
      </c>
    </row>
    <row r="7" spans="1:5" ht="14.25" customHeight="1" x14ac:dyDescent="0.3">
      <c r="B7" s="6" t="s">
        <v>140</v>
      </c>
      <c r="C7" s="6">
        <v>1492</v>
      </c>
      <c r="D7" s="6">
        <v>1645</v>
      </c>
      <c r="E7" s="6">
        <v>1781</v>
      </c>
    </row>
    <row r="8" spans="1:5" ht="14.25" customHeight="1" x14ac:dyDescent="0.3">
      <c r="B8" s="6" t="s">
        <v>141</v>
      </c>
      <c r="C8" s="6">
        <v>0</v>
      </c>
      <c r="D8" s="6">
        <v>194</v>
      </c>
      <c r="E8" s="6">
        <v>286</v>
      </c>
    </row>
    <row r="9" spans="1:5" ht="14.25" customHeight="1" x14ac:dyDescent="0.3">
      <c r="B9" s="6" t="s">
        <v>142</v>
      </c>
      <c r="C9" s="6">
        <v>595</v>
      </c>
      <c r="D9" s="6">
        <v>619</v>
      </c>
      <c r="E9" s="6">
        <v>665</v>
      </c>
    </row>
    <row r="10" spans="1:5" ht="14.25" customHeight="1" x14ac:dyDescent="0.3">
      <c r="B10" s="6" t="s">
        <v>143</v>
      </c>
      <c r="C10" s="6">
        <v>9</v>
      </c>
      <c r="D10" s="6">
        <v>42</v>
      </c>
      <c r="E10" s="6">
        <v>85</v>
      </c>
    </row>
    <row r="11" spans="1:5" ht="14.25" customHeight="1" x14ac:dyDescent="0.3">
      <c r="B11" s="6" t="s">
        <v>144</v>
      </c>
      <c r="C11" s="6">
        <v>147</v>
      </c>
      <c r="D11" s="6">
        <v>104</v>
      </c>
      <c r="E11" s="6">
        <v>59</v>
      </c>
    </row>
    <row r="12" spans="1:5" ht="14.25" customHeight="1" x14ac:dyDescent="0.3">
      <c r="B12" s="6" t="s">
        <v>145</v>
      </c>
    </row>
    <row r="13" spans="1:5" ht="14.25" customHeight="1" x14ac:dyDescent="0.3">
      <c r="B13" s="6" t="s">
        <v>105</v>
      </c>
      <c r="C13" s="6">
        <v>-536</v>
      </c>
      <c r="D13" s="6">
        <v>-791</v>
      </c>
      <c r="E13" s="6">
        <v>-1892</v>
      </c>
    </row>
    <row r="14" spans="1:5" ht="14.25" customHeight="1" x14ac:dyDescent="0.3">
      <c r="B14" s="6" t="s">
        <v>114</v>
      </c>
      <c r="C14" s="6">
        <v>322</v>
      </c>
      <c r="D14" s="6">
        <v>2261</v>
      </c>
      <c r="E14" s="6">
        <v>1838</v>
      </c>
    </row>
    <row r="15" spans="1:5" ht="14.25" customHeight="1" x14ac:dyDescent="0.3">
      <c r="B15" s="6" t="s">
        <v>146</v>
      </c>
      <c r="C15" s="6">
        <v>623</v>
      </c>
      <c r="D15" s="6">
        <v>728</v>
      </c>
      <c r="E15" s="6">
        <v>1057</v>
      </c>
    </row>
    <row r="16" spans="1:5" ht="14.25" customHeight="1" x14ac:dyDescent="0.3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 x14ac:dyDescent="0.3">
      <c r="B17" s="6" t="s">
        <v>148</v>
      </c>
    </row>
    <row r="18" spans="2:5" ht="14.25" customHeight="1" x14ac:dyDescent="0.3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 x14ac:dyDescent="0.3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 x14ac:dyDescent="0.3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 x14ac:dyDescent="0.3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 x14ac:dyDescent="0.3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 x14ac:dyDescent="0.3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 x14ac:dyDescent="0.3">
      <c r="B24" s="6" t="s">
        <v>155</v>
      </c>
    </row>
    <row r="25" spans="2:5" ht="14.25" customHeight="1" x14ac:dyDescent="0.3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 x14ac:dyDescent="0.3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 x14ac:dyDescent="0.3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 x14ac:dyDescent="0.3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 x14ac:dyDescent="0.3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 x14ac:dyDescent="0.3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 x14ac:dyDescent="0.3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 x14ac:dyDescent="0.3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 x14ac:dyDescent="0.3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 x14ac:dyDescent="0.3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 x14ac:dyDescent="0.3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 x14ac:dyDescent="0.3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 x14ac:dyDescent="0.3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 x14ac:dyDescent="0.3">
      <c r="B38" s="6" t="s">
        <v>169</v>
      </c>
    </row>
    <row r="39" spans="2:5" ht="14.25" customHeight="1" x14ac:dyDescent="0.3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 x14ac:dyDescent="0.3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 x14ac:dyDescent="0.3">
      <c r="B41" s="6" t="s">
        <v>172</v>
      </c>
    </row>
    <row r="42" spans="2:5" ht="14.25" customHeight="1" x14ac:dyDescent="0.3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 x14ac:dyDescent="0.3"/>
    <row r="44" spans="2:5" ht="14.25" customHeight="1" x14ac:dyDescent="0.3">
      <c r="B44" s="44" t="s">
        <v>175</v>
      </c>
    </row>
    <row r="45" spans="2:5" ht="14.25" customHeight="1" x14ac:dyDescent="0.3"/>
    <row r="46" spans="2:5" ht="14.25" customHeight="1" x14ac:dyDescent="0.3"/>
    <row r="47" spans="2:5" ht="14.25" customHeight="1" x14ac:dyDescent="0.3"/>
    <row r="48" spans="2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Windows User</cp:lastModifiedBy>
  <dcterms:created xsi:type="dcterms:W3CDTF">2022-06-25T16:24:49Z</dcterms:created>
  <dcterms:modified xsi:type="dcterms:W3CDTF">2025-06-28T09:39:06Z</dcterms:modified>
</cp:coreProperties>
</file>