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KAR\Desktop\"/>
    </mc:Choice>
  </mc:AlternateContent>
  <xr:revisionPtr revIDLastSave="0" documentId="8_{F4176C9F-59B6-48FD-B6E0-033F478C0395}" xr6:coauthVersionLast="47" xr6:coauthVersionMax="47" xr10:uidLastSave="{00000000-0000-0000-0000-000000000000}"/>
  <bookViews>
    <workbookView xWindow="-108" yWindow="-108" windowWidth="23256" windowHeight="12456" activeTab="2" xr2:uid="{FD3D7045-34C7-4A8E-956E-6671FC883690}"/>
  </bookViews>
  <sheets>
    <sheet name="3 STATEMENT MODEL" sheetId="3" r:id="rId1"/>
    <sheet name="LINE ITEMS" sheetId="1" r:id="rId2"/>
    <sheet name="VALUATI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5" l="1"/>
  <c r="E80" i="5" s="1"/>
  <c r="N9" i="5" s="1"/>
  <c r="E75" i="5"/>
  <c r="N63" i="5"/>
  <c r="E54" i="5" s="1"/>
  <c r="N62" i="5"/>
  <c r="N32" i="5"/>
  <c r="N37" i="5" s="1"/>
  <c r="N46" i="5" s="1"/>
  <c r="N23" i="5" s="1"/>
  <c r="G22" i="5"/>
  <c r="F22" i="5"/>
  <c r="J61" i="1"/>
  <c r="K61" i="1"/>
  <c r="L61" i="1"/>
  <c r="M61" i="1"/>
  <c r="N61" i="1" s="1"/>
  <c r="O61" i="1" s="1"/>
  <c r="P61" i="1" s="1"/>
  <c r="Q61" i="1" s="1"/>
  <c r="R61" i="1" s="1"/>
  <c r="S61" i="1" s="1"/>
  <c r="I61" i="1"/>
  <c r="J62" i="1"/>
  <c r="K62" i="1" s="1"/>
  <c r="L62" i="1" s="1"/>
  <c r="M62" i="1" s="1"/>
  <c r="N62" i="1" s="1"/>
  <c r="O62" i="1" s="1"/>
  <c r="P62" i="1" s="1"/>
  <c r="Q62" i="1" s="1"/>
  <c r="R62" i="1" s="1"/>
  <c r="S62" i="1" s="1"/>
  <c r="I62" i="1"/>
  <c r="H61" i="1"/>
  <c r="H62" i="1"/>
  <c r="J10" i="1"/>
  <c r="K10" i="1" s="1"/>
  <c r="L10" i="1" s="1"/>
  <c r="M10" i="1" s="1"/>
  <c r="N10" i="1" s="1"/>
  <c r="O10" i="1" s="1"/>
  <c r="P10" i="1" s="1"/>
  <c r="Q10" i="1" s="1"/>
  <c r="R10" i="1" s="1"/>
  <c r="S10" i="1" s="1"/>
  <c r="I10" i="1"/>
  <c r="J11" i="1"/>
  <c r="K11" i="1" s="1"/>
  <c r="L11" i="1" s="1"/>
  <c r="M11" i="1" s="1"/>
  <c r="N11" i="1" s="1"/>
  <c r="O11" i="1" s="1"/>
  <c r="P11" i="1" s="1"/>
  <c r="Q11" i="1" s="1"/>
  <c r="R11" i="1" s="1"/>
  <c r="S11" i="1" s="1"/>
  <c r="I11" i="1"/>
  <c r="F101" i="1"/>
  <c r="F105" i="1" s="1"/>
  <c r="I84" i="1"/>
  <c r="J84" i="1"/>
  <c r="K84" i="1"/>
  <c r="L84" i="1"/>
  <c r="M84" i="1"/>
  <c r="N84" i="1"/>
  <c r="O84" i="1"/>
  <c r="P84" i="1"/>
  <c r="Q84" i="1"/>
  <c r="R84" i="1"/>
  <c r="S84" i="1"/>
  <c r="H84" i="1"/>
  <c r="I82" i="1"/>
  <c r="I85" i="1" s="1"/>
  <c r="J82" i="1"/>
  <c r="J85" i="1" s="1"/>
  <c r="K82" i="1"/>
  <c r="K85" i="1" s="1"/>
  <c r="L82" i="1"/>
  <c r="M82" i="1"/>
  <c r="M85" i="1" s="1"/>
  <c r="N82" i="1"/>
  <c r="O82" i="1"/>
  <c r="O85" i="1" s="1"/>
  <c r="P82" i="1"/>
  <c r="Q82" i="1"/>
  <c r="R82" i="1"/>
  <c r="R85" i="1" s="1"/>
  <c r="S82" i="1"/>
  <c r="S85" i="1" s="1"/>
  <c r="H82" i="1"/>
  <c r="H85" i="1" s="1"/>
  <c r="I74" i="1"/>
  <c r="J74" i="1"/>
  <c r="K74" i="1"/>
  <c r="L74" i="1"/>
  <c r="M74" i="1"/>
  <c r="N74" i="1"/>
  <c r="O74" i="1"/>
  <c r="P74" i="1"/>
  <c r="Q74" i="1"/>
  <c r="R74" i="1"/>
  <c r="S74" i="1"/>
  <c r="H74" i="1"/>
  <c r="S94" i="1"/>
  <c r="R94" i="1"/>
  <c r="Q94" i="1"/>
  <c r="P94" i="1"/>
  <c r="O94" i="1"/>
  <c r="N94" i="1"/>
  <c r="M94" i="1"/>
  <c r="L94" i="1"/>
  <c r="K94" i="1"/>
  <c r="J94" i="1"/>
  <c r="I94" i="1"/>
  <c r="H94" i="1"/>
  <c r="Q85" i="1"/>
  <c r="N85" i="1"/>
  <c r="L85" i="1"/>
  <c r="F50" i="1"/>
  <c r="F52" i="1" s="1"/>
  <c r="F54" i="1" s="1"/>
  <c r="D47" i="1" s="1"/>
  <c r="I43" i="1"/>
  <c r="J43" i="1"/>
  <c r="K43" i="1"/>
  <c r="L43" i="1"/>
  <c r="M43" i="1"/>
  <c r="N43" i="1"/>
  <c r="O43" i="1"/>
  <c r="P43" i="1"/>
  <c r="Q43" i="1"/>
  <c r="R43" i="1"/>
  <c r="S43" i="1"/>
  <c r="H43" i="1"/>
  <c r="I31" i="1"/>
  <c r="J31" i="1"/>
  <c r="K31" i="1"/>
  <c r="L31" i="1"/>
  <c r="M31" i="1"/>
  <c r="N31" i="1"/>
  <c r="O31" i="1"/>
  <c r="P31" i="1"/>
  <c r="Q31" i="1"/>
  <c r="R31" i="1"/>
  <c r="S31" i="1"/>
  <c r="I33" i="1"/>
  <c r="J33" i="1"/>
  <c r="K33" i="1"/>
  <c r="L33" i="1"/>
  <c r="M33" i="1"/>
  <c r="N33" i="1"/>
  <c r="O33" i="1"/>
  <c r="P33" i="1"/>
  <c r="Q33" i="1"/>
  <c r="R33" i="1"/>
  <c r="S33" i="1"/>
  <c r="H31" i="1"/>
  <c r="H33" i="1"/>
  <c r="I23" i="1"/>
  <c r="J23" i="1"/>
  <c r="K23" i="1"/>
  <c r="L23" i="1"/>
  <c r="M23" i="1"/>
  <c r="N23" i="1"/>
  <c r="O23" i="1"/>
  <c r="P23" i="1"/>
  <c r="Q23" i="1"/>
  <c r="R23" i="1"/>
  <c r="S23" i="1"/>
  <c r="H23" i="1"/>
  <c r="H22" i="1"/>
  <c r="H21" i="1"/>
  <c r="H16" i="1"/>
  <c r="H15" i="1"/>
  <c r="E72" i="5" l="1"/>
  <c r="N48" i="3"/>
  <c r="O48" i="3"/>
  <c r="F55" i="1"/>
  <c r="F100" i="1" s="1"/>
  <c r="F102" i="1" s="1"/>
  <c r="E45" i="3"/>
  <c r="E46" i="3" s="1"/>
  <c r="Q34" i="1"/>
  <c r="Q45" i="1" s="1"/>
  <c r="E22" i="3"/>
  <c r="E72" i="3" s="1"/>
  <c r="F106" i="1"/>
  <c r="F107" i="1" s="1"/>
  <c r="D98" i="1" s="1"/>
  <c r="F22" i="3" s="1"/>
  <c r="F72" i="3" s="1"/>
  <c r="H73" i="1"/>
  <c r="H67" i="1"/>
  <c r="H24" i="1"/>
  <c r="R34" i="1"/>
  <c r="N34" i="1"/>
  <c r="N45" i="1" s="1"/>
  <c r="J34" i="1"/>
  <c r="J45" i="1" s="1"/>
  <c r="P85" i="1"/>
  <c r="P96" i="1" s="1"/>
  <c r="N96" i="1"/>
  <c r="S96" i="1"/>
  <c r="H96" i="1"/>
  <c r="L96" i="1"/>
  <c r="J96" i="1"/>
  <c r="K96" i="1"/>
  <c r="O96" i="1"/>
  <c r="I96" i="1"/>
  <c r="M96" i="1"/>
  <c r="Q96" i="1"/>
  <c r="R96" i="1"/>
  <c r="I16" i="1"/>
  <c r="M34" i="1"/>
  <c r="M45" i="1" s="1"/>
  <c r="I34" i="1"/>
  <c r="I45" i="1" s="1"/>
  <c r="H34" i="1"/>
  <c r="H45" i="1" s="1"/>
  <c r="P34" i="1"/>
  <c r="P45" i="1" s="1"/>
  <c r="L34" i="1"/>
  <c r="L45" i="1" s="1"/>
  <c r="S34" i="1"/>
  <c r="S45" i="1" s="1"/>
  <c r="O34" i="1"/>
  <c r="O45" i="1" s="1"/>
  <c r="K34" i="1"/>
  <c r="K45" i="1" s="1"/>
  <c r="R45" i="1"/>
  <c r="J16" i="1"/>
  <c r="I22" i="1"/>
  <c r="H17" i="1"/>
  <c r="F108" i="1" l="1"/>
  <c r="F45" i="3" s="1"/>
  <c r="F46" i="3" s="1"/>
  <c r="H72" i="1"/>
  <c r="H75" i="1" s="1"/>
  <c r="H66" i="1"/>
  <c r="D26" i="1"/>
  <c r="E18" i="3" s="1"/>
  <c r="D77" i="1"/>
  <c r="F18" i="3" s="1"/>
  <c r="J22" i="1"/>
  <c r="J15" i="1"/>
  <c r="J17" i="1" s="1"/>
  <c r="J21" i="1"/>
  <c r="I15" i="1"/>
  <c r="I21" i="1"/>
  <c r="I24" i="1" s="1"/>
  <c r="H68" i="1" l="1"/>
  <c r="I17" i="1"/>
  <c r="K22" i="1"/>
  <c r="K16" i="1"/>
  <c r="J24" i="1"/>
  <c r="K15" i="1" l="1"/>
  <c r="K21" i="1"/>
  <c r="K24" i="1" s="1"/>
  <c r="L22" i="1"/>
  <c r="L16" i="1"/>
  <c r="K17" i="1" l="1"/>
  <c r="M22" i="1"/>
  <c r="M16" i="1"/>
  <c r="L15" i="1"/>
  <c r="L17" i="1" s="1"/>
  <c r="L21" i="1"/>
  <c r="L24" i="1" s="1"/>
  <c r="M15" i="1" l="1"/>
  <c r="M21" i="1"/>
  <c r="M24" i="1" s="1"/>
  <c r="N22" i="1"/>
  <c r="N16" i="1"/>
  <c r="M17" i="1" l="1"/>
  <c r="O22" i="1"/>
  <c r="O16" i="1"/>
  <c r="N15" i="1"/>
  <c r="N17" i="1" s="1"/>
  <c r="N21" i="1"/>
  <c r="N24" i="1" s="1"/>
  <c r="O15" i="1" l="1"/>
  <c r="O17" i="1" s="1"/>
  <c r="O21" i="1"/>
  <c r="O24" i="1" s="1"/>
  <c r="P22" i="1"/>
  <c r="P16" i="1"/>
  <c r="Q22" i="1" l="1"/>
  <c r="Q16" i="1"/>
  <c r="P15" i="1"/>
  <c r="P17" i="1" s="1"/>
  <c r="P21" i="1"/>
  <c r="P24" i="1" s="1"/>
  <c r="Q15" i="1" l="1"/>
  <c r="Q17" i="1" s="1"/>
  <c r="Q21" i="1"/>
  <c r="Q24" i="1" s="1"/>
  <c r="R22" i="1"/>
  <c r="R16" i="1"/>
  <c r="S22" i="1" l="1"/>
  <c r="S16" i="1"/>
  <c r="E11" i="3" s="1"/>
  <c r="R15" i="1"/>
  <c r="R17" i="1" s="1"/>
  <c r="R21" i="1"/>
  <c r="R24" i="1" s="1"/>
  <c r="S15" i="1" l="1"/>
  <c r="S21" i="1"/>
  <c r="S24" i="1" s="1"/>
  <c r="D19" i="1" s="1"/>
  <c r="E14" i="3" s="1"/>
  <c r="N47" i="3" l="1"/>
  <c r="N49" i="3" s="1"/>
  <c r="N54" i="3" s="1"/>
  <c r="S17" i="1"/>
  <c r="N40" i="3" s="1"/>
  <c r="N44" i="3" s="1"/>
  <c r="E10" i="3"/>
  <c r="E12" i="3" s="1"/>
  <c r="E15" i="3" s="1"/>
  <c r="N71" i="3" l="1"/>
  <c r="E52" i="3"/>
  <c r="E53" i="3" s="1"/>
  <c r="N70" i="3"/>
  <c r="E42" i="3"/>
  <c r="D13" i="1"/>
  <c r="E16" i="3"/>
  <c r="E19" i="3"/>
  <c r="E23" i="3" l="1"/>
  <c r="E24" i="3" s="1"/>
  <c r="E20" i="3"/>
  <c r="E71" i="3"/>
  <c r="E26" i="3"/>
  <c r="E28" i="3" s="1"/>
  <c r="E31" i="3" s="1"/>
  <c r="N73" i="3"/>
  <c r="N75" i="3" s="1"/>
  <c r="E73" i="3" s="1"/>
  <c r="E56" i="3" l="1"/>
  <c r="E29" i="3"/>
  <c r="E74" i="3"/>
  <c r="E57" i="3"/>
  <c r="E59" i="3" s="1"/>
  <c r="E81" i="3" l="1"/>
  <c r="E41" i="3" s="1"/>
  <c r="E43" i="3" s="1"/>
  <c r="E48" i="3" s="1"/>
  <c r="F21" i="5"/>
  <c r="F26" i="5" s="1"/>
  <c r="E31" i="5" s="1"/>
  <c r="E32" i="5" s="1"/>
  <c r="E61" i="3"/>
  <c r="K66" i="1"/>
  <c r="K68" i="1" s="1"/>
  <c r="J73" i="1"/>
  <c r="J67" i="1"/>
  <c r="K67" i="1"/>
  <c r="K73" i="1"/>
  <c r="K72" i="1"/>
  <c r="O67" i="1"/>
  <c r="O73" i="1"/>
  <c r="P73" i="1"/>
  <c r="P66" i="1"/>
  <c r="P67" i="1"/>
  <c r="M67" i="1"/>
  <c r="M72" i="1"/>
  <c r="M73" i="1"/>
  <c r="I67" i="1"/>
  <c r="I73" i="1"/>
  <c r="Q73" i="1"/>
  <c r="Q67" i="1"/>
  <c r="N67" i="1"/>
  <c r="N72" i="1"/>
  <c r="N73" i="1"/>
  <c r="J72" i="1"/>
  <c r="J75" i="1" s="1"/>
  <c r="J66" i="1"/>
  <c r="L73" i="1"/>
  <c r="L72" i="1"/>
  <c r="L67" i="1"/>
  <c r="R67" i="1"/>
  <c r="R66" i="1"/>
  <c r="R68" i="1" s="1"/>
  <c r="R73" i="1"/>
  <c r="S73" i="1"/>
  <c r="S67" i="1"/>
  <c r="S66" i="1"/>
  <c r="S68" i="1" s="1"/>
  <c r="O66" i="1"/>
  <c r="O68" i="1" s="1"/>
  <c r="O72" i="1"/>
  <c r="Q66" i="1"/>
  <c r="Q68" i="1" s="1"/>
  <c r="Q72" i="1"/>
  <c r="I66" i="1"/>
  <c r="N75" i="1" l="1"/>
  <c r="Q75" i="1"/>
  <c r="J68" i="1"/>
  <c r="F11" i="3"/>
  <c r="O75" i="1"/>
  <c r="P68" i="1"/>
  <c r="L66" i="1"/>
  <c r="L68" i="1" s="1"/>
  <c r="O40" i="3"/>
  <c r="O44" i="3" s="1"/>
  <c r="F42" i="3" s="1"/>
  <c r="N66" i="1"/>
  <c r="N68" i="1" s="1"/>
  <c r="L75" i="1"/>
  <c r="M75" i="1"/>
  <c r="K75" i="1"/>
  <c r="I68" i="1"/>
  <c r="P72" i="1"/>
  <c r="P75" i="1" s="1"/>
  <c r="R72" i="1"/>
  <c r="R75" i="1" s="1"/>
  <c r="I72" i="1"/>
  <c r="I75" i="1" s="1"/>
  <c r="S72" i="1"/>
  <c r="S75" i="1" s="1"/>
  <c r="M66" i="1"/>
  <c r="M68" i="1" s="1"/>
  <c r="O70" i="3" l="1"/>
  <c r="O47" i="3"/>
  <c r="O49" i="3" s="1"/>
  <c r="O54" i="3" s="1"/>
  <c r="F52" i="3" s="1"/>
  <c r="F53" i="3" s="1"/>
  <c r="D64" i="1"/>
  <c r="D70" i="1"/>
  <c r="F14" i="3" s="1"/>
  <c r="F10" i="3"/>
  <c r="F12" i="3" s="1"/>
  <c r="O71" i="3" l="1"/>
  <c r="O73" i="3" s="1"/>
  <c r="O75" i="3" s="1"/>
  <c r="F73" i="3" s="1"/>
  <c r="F15" i="3"/>
  <c r="F19" i="3" l="1"/>
  <c r="E55" i="5" s="1"/>
  <c r="E57" i="5" s="1"/>
  <c r="E58" i="5" s="1"/>
  <c r="E60" i="5" s="1"/>
  <c r="E63" i="5" s="1"/>
  <c r="N11" i="5" s="1"/>
  <c r="F16" i="3"/>
  <c r="F23" i="3" l="1"/>
  <c r="F24" i="3" s="1"/>
  <c r="F20" i="3"/>
  <c r="F26" i="3"/>
  <c r="F28" i="3" s="1"/>
  <c r="F31" i="3" s="1"/>
  <c r="F71" i="3" l="1"/>
  <c r="F74" i="3" s="1"/>
  <c r="F56" i="3"/>
  <c r="F57" i="3" s="1"/>
  <c r="F59" i="3" s="1"/>
  <c r="F29" i="3"/>
  <c r="F81" i="3" l="1"/>
  <c r="F41" i="3" s="1"/>
  <c r="F43" i="3" s="1"/>
  <c r="F48" i="3" s="1"/>
  <c r="F61" i="3" s="1"/>
  <c r="G21" i="5"/>
  <c r="G26" i="5" s="1"/>
  <c r="N20" i="5" l="1"/>
  <c r="N26" i="5" s="1"/>
  <c r="G31" i="5" s="1"/>
  <c r="G32" i="5" s="1"/>
  <c r="F31" i="5"/>
  <c r="F32" i="5" s="1"/>
  <c r="G35" i="5" s="1"/>
  <c r="N10" i="5" s="1"/>
</calcChain>
</file>

<file path=xl/sharedStrings.xml><?xml version="1.0" encoding="utf-8"?>
<sst xmlns="http://schemas.openxmlformats.org/spreadsheetml/2006/main" count="272" uniqueCount="197">
  <si>
    <t>MooMetrics</t>
  </si>
  <si>
    <t>COGS</t>
  </si>
  <si>
    <t>Device Cost</t>
  </si>
  <si>
    <t>Salaries</t>
  </si>
  <si>
    <t>CEO</t>
  </si>
  <si>
    <t>COO</t>
  </si>
  <si>
    <t>SM  Marketer</t>
  </si>
  <si>
    <t>Mkt. Professionals</t>
  </si>
  <si>
    <t>Accountant</t>
  </si>
  <si>
    <t>Unit Rent</t>
  </si>
  <si>
    <t>Internet Bills</t>
  </si>
  <si>
    <t>Electricity</t>
  </si>
  <si>
    <t>Maintenance</t>
  </si>
  <si>
    <t>Miscellaneous</t>
  </si>
  <si>
    <t>Mkt. Expense</t>
  </si>
  <si>
    <t>FY2024</t>
  </si>
  <si>
    <t>Revenue</t>
  </si>
  <si>
    <t>No. of Devices Installed</t>
  </si>
  <si>
    <t>Grow @ 10% pm</t>
  </si>
  <si>
    <t>Additional devices each month</t>
  </si>
  <si>
    <t xml:space="preserve">From Installing Devices </t>
  </si>
  <si>
    <t>3200 / Device</t>
  </si>
  <si>
    <t>From Subscription Model</t>
  </si>
  <si>
    <t>200  pm</t>
  </si>
  <si>
    <t>Total Revenue / Month</t>
  </si>
  <si>
    <t>Cloud Support Cost</t>
  </si>
  <si>
    <t>Production labour</t>
  </si>
  <si>
    <t>1500 / Device</t>
  </si>
  <si>
    <t>50 pm</t>
  </si>
  <si>
    <t>3 Workers @ 15k pm</t>
  </si>
  <si>
    <t>Total COGS / Month</t>
  </si>
  <si>
    <t>SG&amp;A</t>
  </si>
  <si>
    <t>40k pm</t>
  </si>
  <si>
    <t>20k pm</t>
  </si>
  <si>
    <t>1 Marketer @ 20k pm</t>
  </si>
  <si>
    <t>2 Professionals @ 20k pm</t>
  </si>
  <si>
    <t>Total Salaries</t>
  </si>
  <si>
    <t>Others</t>
  </si>
  <si>
    <t>5k pm</t>
  </si>
  <si>
    <t>10k pm</t>
  </si>
  <si>
    <t>4k pm</t>
  </si>
  <si>
    <t>25k pm</t>
  </si>
  <si>
    <t>Total Expenses</t>
  </si>
  <si>
    <t>SG&amp;A / Month</t>
  </si>
  <si>
    <t>Depreciation</t>
  </si>
  <si>
    <t>Investment in Fixed Assets</t>
  </si>
  <si>
    <t>10 Laptop @ 40k / pc</t>
  </si>
  <si>
    <t>Assumed Life(Years)</t>
  </si>
  <si>
    <t>Depreciation for FY2024</t>
  </si>
  <si>
    <t>₹</t>
  </si>
  <si>
    <t>FY2025</t>
  </si>
  <si>
    <t>Figures in INR</t>
  </si>
  <si>
    <t>Sales</t>
  </si>
  <si>
    <t>Subscription Income</t>
  </si>
  <si>
    <t>Total Revenue</t>
  </si>
  <si>
    <t>Gross Profit</t>
  </si>
  <si>
    <t>gross profit margin(%)</t>
  </si>
  <si>
    <t>EBITDA</t>
  </si>
  <si>
    <t>EBIT</t>
  </si>
  <si>
    <t>Net Income</t>
  </si>
  <si>
    <t>8 Workers @ 15.9k pm</t>
  </si>
  <si>
    <t>42.4k pm</t>
  </si>
  <si>
    <t>2 Marketer @ 21.2k pm</t>
  </si>
  <si>
    <t>21.2k pm</t>
  </si>
  <si>
    <t>4 Professionals @ 21.2k pm</t>
  </si>
  <si>
    <t>22k pm</t>
  </si>
  <si>
    <t>5.5k pm</t>
  </si>
  <si>
    <t>11k pm</t>
  </si>
  <si>
    <t>4.4k pm</t>
  </si>
  <si>
    <t>27.5k pm</t>
  </si>
  <si>
    <t>Previous Year Depreciation</t>
  </si>
  <si>
    <t>Income Statement</t>
  </si>
  <si>
    <t>Balance Sheet</t>
  </si>
  <si>
    <t xml:space="preserve">Assets </t>
  </si>
  <si>
    <t xml:space="preserve">Cash </t>
  </si>
  <si>
    <t>Liabilities</t>
  </si>
  <si>
    <t>Common Equity</t>
  </si>
  <si>
    <t xml:space="preserve">Retained Earnings </t>
  </si>
  <si>
    <t>Accounts Receivables</t>
  </si>
  <si>
    <t>Total Assets</t>
  </si>
  <si>
    <t>Total Liabilities</t>
  </si>
  <si>
    <t>Balance Check</t>
  </si>
  <si>
    <t>Account Receivables Period (Days)</t>
  </si>
  <si>
    <t>Accounts Payable Period (Days)</t>
  </si>
  <si>
    <t>Net Fixed Investments</t>
  </si>
  <si>
    <t>Total Non Current Assets</t>
  </si>
  <si>
    <t>Total Current Assets</t>
  </si>
  <si>
    <t>Total Non Current Liabilities</t>
  </si>
  <si>
    <t>Accounts Payables</t>
  </si>
  <si>
    <t>Total Current Liabilities</t>
  </si>
  <si>
    <t>Net Investments</t>
  </si>
  <si>
    <t>Net Investment</t>
  </si>
  <si>
    <t>Previous Year Net Investments</t>
  </si>
  <si>
    <t>Cash Flow Statement</t>
  </si>
  <si>
    <t>Revenue Earned during Reference period</t>
  </si>
  <si>
    <t>Revenue Reference Period (Days)</t>
  </si>
  <si>
    <t>Account Receivables</t>
  </si>
  <si>
    <t>Assumed 30 days per month</t>
  </si>
  <si>
    <t>Cost During Payables Reference Period</t>
  </si>
  <si>
    <t>Cost Reference Period (Days)</t>
  </si>
  <si>
    <t>Account Payables</t>
  </si>
  <si>
    <t>Salary Expense Included in COGS</t>
  </si>
  <si>
    <t>Net Cost Payable</t>
  </si>
  <si>
    <t>CFO</t>
  </si>
  <si>
    <t>Non Cash Charges</t>
  </si>
  <si>
    <t>CFI</t>
  </si>
  <si>
    <t>CFF</t>
  </si>
  <si>
    <t>FCF</t>
  </si>
  <si>
    <t>Working Capital</t>
  </si>
  <si>
    <t>Change in Working Capital</t>
  </si>
  <si>
    <t>All figures in INR</t>
  </si>
  <si>
    <t>PLUTUS BUSINESS ADVISORY</t>
  </si>
  <si>
    <t>All Figures in INR</t>
  </si>
  <si>
    <t>Last month + Additional Devices</t>
  </si>
  <si>
    <t>Tax(30%)</t>
  </si>
  <si>
    <t>EBITDA margin(%)</t>
  </si>
  <si>
    <t>Operating Profit margin(%)</t>
  </si>
  <si>
    <t>Net income margin(%)</t>
  </si>
  <si>
    <t>EPS</t>
  </si>
  <si>
    <t>VALUATION DATE</t>
  </si>
  <si>
    <t>Cumulative No. of Devices Installed</t>
  </si>
  <si>
    <t>DCF</t>
  </si>
  <si>
    <t>FCFE</t>
  </si>
  <si>
    <t>Capex</t>
  </si>
  <si>
    <t>Net Borrowings</t>
  </si>
  <si>
    <t>Free Cash Flow to Equity</t>
  </si>
  <si>
    <r>
      <t>Terminal Value at end of 2</t>
    </r>
    <r>
      <rPr>
        <b/>
        <vertAlign val="superscript"/>
        <sz val="11"/>
        <color theme="1"/>
        <rFont val="Calibri"/>
        <family val="2"/>
        <scheme val="minor"/>
      </rPr>
      <t xml:space="preserve">nd </t>
    </r>
    <r>
      <rPr>
        <b/>
        <sz val="11"/>
        <color theme="1"/>
        <rFont val="Calibri"/>
        <family val="2"/>
        <scheme val="minor"/>
      </rPr>
      <t>Year</t>
    </r>
  </si>
  <si>
    <t>FCFE at end  2nd Year</t>
  </si>
  <si>
    <t>Terminal Growth Rate</t>
  </si>
  <si>
    <t>Terminal Value</t>
  </si>
  <si>
    <t>Long term GDP growth rate</t>
  </si>
  <si>
    <t>Required Rate of Return</t>
  </si>
  <si>
    <t>Build -Up CAPM</t>
  </si>
  <si>
    <t>risk free return + Market Beta(ERP) + SCRP + IRP + CRP</t>
  </si>
  <si>
    <t>Risk free Return</t>
  </si>
  <si>
    <t>Market Beta</t>
  </si>
  <si>
    <t xml:space="preserve">Long -term Equity Market Return </t>
  </si>
  <si>
    <t>ERP</t>
  </si>
  <si>
    <t>SCRP</t>
  </si>
  <si>
    <t>Industry Risk Premium (IRP)</t>
  </si>
  <si>
    <t>Country Risk Premium (CRP)</t>
  </si>
  <si>
    <t>10 Y Government Bond Yield</t>
  </si>
  <si>
    <t>Nifty 50 CAGR since Inception</t>
  </si>
  <si>
    <t>Equity risk premium (Equity Market return - risk free)</t>
  </si>
  <si>
    <t>Small cap Risk Premium</t>
  </si>
  <si>
    <t xml:space="preserve">Agritech Industry Premium </t>
  </si>
  <si>
    <t>India Risk Premium</t>
  </si>
  <si>
    <t>CAPM</t>
  </si>
  <si>
    <t>Build-Up CAPM</t>
  </si>
  <si>
    <t>Valuation (as on 1 April 2023)</t>
  </si>
  <si>
    <t>Year 1</t>
  </si>
  <si>
    <t xml:space="preserve">Year 2 </t>
  </si>
  <si>
    <t xml:space="preserve">Present Value </t>
  </si>
  <si>
    <t>FCFE/(1+CAPM)^n</t>
  </si>
  <si>
    <t>Sum of Present Values</t>
  </si>
  <si>
    <t>Equity Value</t>
  </si>
  <si>
    <t>MULTIPLE BASED</t>
  </si>
  <si>
    <t>Median EV/EBITDA</t>
  </si>
  <si>
    <t>Enterprise Value</t>
  </si>
  <si>
    <t>Valuation Multiple</t>
  </si>
  <si>
    <t>EV/EBITDA</t>
  </si>
  <si>
    <t xml:space="preserve">Agritech India Ltd </t>
  </si>
  <si>
    <t>Company</t>
  </si>
  <si>
    <t>Region</t>
  </si>
  <si>
    <t>Nova Agritech</t>
  </si>
  <si>
    <t>Dhanuka Agritech</t>
  </si>
  <si>
    <t>Origin Agritech</t>
  </si>
  <si>
    <t>Verde Agritech</t>
  </si>
  <si>
    <t>INDIA</t>
  </si>
  <si>
    <t>CHINA</t>
  </si>
  <si>
    <t>BRAZIL</t>
  </si>
  <si>
    <t>Average</t>
  </si>
  <si>
    <t>Median</t>
  </si>
  <si>
    <t xml:space="preserve">Equity Value = </t>
  </si>
  <si>
    <t>-</t>
  </si>
  <si>
    <t>Debt Value</t>
  </si>
  <si>
    <t>+</t>
  </si>
  <si>
    <t>COST APPROACH</t>
  </si>
  <si>
    <t>Cash(1-Apr-2023)</t>
  </si>
  <si>
    <t>PV of EBITDA</t>
  </si>
  <si>
    <t>Peers TTM EV/EBITDA Multiple</t>
  </si>
  <si>
    <t>As on 1 April 2023</t>
  </si>
  <si>
    <t>Note :</t>
  </si>
  <si>
    <t xml:space="preserve"> providers like "Yahoo Finance" , "Google Finance" etc.</t>
  </si>
  <si>
    <t>All the values used to derive CAPM are taken from either Government Website OR from financial data</t>
  </si>
  <si>
    <t>Current Assets</t>
  </si>
  <si>
    <t>Non Current Assets</t>
  </si>
  <si>
    <t>CASH</t>
  </si>
  <si>
    <t>Laptops</t>
  </si>
  <si>
    <t xml:space="preserve">Equity Value </t>
  </si>
  <si>
    <t>Valuation Method</t>
  </si>
  <si>
    <t xml:space="preserve">Cost Based </t>
  </si>
  <si>
    <t>Multiple Approach</t>
  </si>
  <si>
    <t>approach</t>
  </si>
  <si>
    <r>
      <t xml:space="preserve">The Valuation range reflects a floor valuation based on </t>
    </r>
    <r>
      <rPr>
        <i/>
        <sz val="11"/>
        <color theme="1"/>
        <rFont val="Calibri"/>
        <family val="2"/>
        <scheme val="minor"/>
      </rPr>
      <t>cost based valuation</t>
    </r>
    <r>
      <rPr>
        <sz val="11"/>
        <color theme="1"/>
        <rFont val="Calibri"/>
        <family val="2"/>
        <scheme val="minor"/>
      </rPr>
      <t xml:space="preserve">, a middle </t>
    </r>
  </si>
  <si>
    <r>
      <t>valuation based on</t>
    </r>
    <r>
      <rPr>
        <i/>
        <sz val="11"/>
        <color theme="1"/>
        <rFont val="Calibri"/>
        <family val="2"/>
        <scheme val="minor"/>
      </rPr>
      <t xml:space="preserve"> DCF</t>
    </r>
    <r>
      <rPr>
        <sz val="11"/>
        <color theme="1"/>
        <rFont val="Calibri"/>
        <family val="2"/>
        <scheme val="minor"/>
      </rPr>
      <t xml:space="preserve"> and an optimistic valuation based on </t>
    </r>
    <r>
      <rPr>
        <i/>
        <sz val="11"/>
        <color theme="1"/>
        <rFont val="Calibri"/>
        <family val="2"/>
        <scheme val="minor"/>
      </rPr>
      <t>comparables multiple</t>
    </r>
  </si>
  <si>
    <t>assumed laptops are bought on first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</si>
</sst>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7"/>
      <color theme="0"/>
      <name val="Bahnschrift SemiBold"/>
      <family val="2"/>
    </font>
    <font>
      <sz val="13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0"/>
      <color theme="1" tint="0.34998626667073579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5"/>
      <color theme="0"/>
      <name val="Bahnschrift SemiBold"/>
      <family val="2"/>
    </font>
    <font>
      <sz val="11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rgb="FF816611"/>
      <name val="Calibri"/>
      <family val="2"/>
      <scheme val="minor"/>
    </font>
    <font>
      <sz val="13"/>
      <color rgb="FF816611"/>
      <name val="Calibri"/>
      <family val="2"/>
      <scheme val="minor"/>
    </font>
    <font>
      <b/>
      <sz val="20"/>
      <color rgb="FF816611"/>
      <name val="Calibri"/>
      <family val="2"/>
      <scheme val="minor"/>
    </font>
    <font>
      <b/>
      <sz val="25"/>
      <color rgb="FF8166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i/>
      <sz val="8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16611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 style="dotted">
        <color auto="1"/>
      </top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/>
      <right/>
      <top style="dashed">
        <color auto="1"/>
      </top>
      <bottom/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 style="thin">
        <color auto="1"/>
      </left>
      <right/>
      <top/>
      <bottom style="dashed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0" fillId="2" borderId="0" xfId="0" applyFill="1"/>
    <xf numFmtId="17" fontId="0" fillId="0" borderId="0" xfId="0" applyNumberFormat="1"/>
    <xf numFmtId="1" fontId="0" fillId="0" borderId="0" xfId="0" applyNumberFormat="1"/>
    <xf numFmtId="0" fontId="2" fillId="0" borderId="0" xfId="0" applyFont="1"/>
    <xf numFmtId="0" fontId="5" fillId="0" borderId="0" xfId="0" applyFont="1" applyAlignment="1">
      <alignment vertical="center"/>
    </xf>
    <xf numFmtId="164" fontId="0" fillId="0" borderId="0" xfId="1" applyNumberFormat="1" applyFont="1"/>
    <xf numFmtId="0" fontId="0" fillId="0" borderId="1" xfId="0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7" fillId="0" borderId="0" xfId="0" applyFont="1" applyAlignment="1">
      <alignment vertical="center"/>
    </xf>
    <xf numFmtId="164" fontId="0" fillId="0" borderId="0" xfId="0" applyNumberFormat="1"/>
    <xf numFmtId="0" fontId="2" fillId="0" borderId="1" xfId="0" applyFont="1" applyBorder="1"/>
    <xf numFmtId="1" fontId="2" fillId="0" borderId="1" xfId="0" applyNumberFormat="1" applyFont="1" applyBorder="1"/>
    <xf numFmtId="0" fontId="2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right"/>
    </xf>
    <xf numFmtId="164" fontId="0" fillId="0" borderId="5" xfId="0" applyNumberFormat="1" applyBorder="1"/>
    <xf numFmtId="0" fontId="0" fillId="0" borderId="11" xfId="0" applyBorder="1"/>
    <xf numFmtId="0" fontId="2" fillId="0" borderId="8" xfId="0" applyFont="1" applyBorder="1"/>
    <xf numFmtId="0" fontId="2" fillId="0" borderId="11" xfId="0" applyFont="1" applyBorder="1"/>
    <xf numFmtId="0" fontId="0" fillId="0" borderId="12" xfId="0" applyBorder="1"/>
    <xf numFmtId="164" fontId="2" fillId="0" borderId="12" xfId="0" applyNumberFormat="1" applyFont="1" applyBorder="1"/>
    <xf numFmtId="164" fontId="2" fillId="0" borderId="4" xfId="0" applyNumberFormat="1" applyFont="1" applyBorder="1"/>
    <xf numFmtId="164" fontId="2" fillId="0" borderId="1" xfId="1" applyNumberFormat="1" applyFont="1" applyBorder="1"/>
    <xf numFmtId="0" fontId="8" fillId="0" borderId="0" xfId="0" applyFont="1"/>
    <xf numFmtId="1" fontId="2" fillId="0" borderId="0" xfId="0" applyNumberFormat="1" applyFont="1"/>
    <xf numFmtId="164" fontId="2" fillId="0" borderId="0" xfId="0" applyNumberFormat="1" applyFont="1"/>
    <xf numFmtId="164" fontId="0" fillId="0" borderId="0" xfId="1" applyNumberFormat="1" applyFont="1" applyBorder="1"/>
    <xf numFmtId="164" fontId="2" fillId="0" borderId="0" xfId="1" applyNumberFormat="1" applyFont="1" applyBorder="1"/>
    <xf numFmtId="0" fontId="2" fillId="0" borderId="0" xfId="0" applyFont="1" applyAlignment="1">
      <alignment vertical="center"/>
    </xf>
    <xf numFmtId="164" fontId="2" fillId="0" borderId="5" xfId="0" applyNumberFormat="1" applyFont="1" applyBorder="1"/>
    <xf numFmtId="1" fontId="0" fillId="0" borderId="5" xfId="0" applyNumberFormat="1" applyBorder="1"/>
    <xf numFmtId="164" fontId="2" fillId="0" borderId="5" xfId="1" applyNumberFormat="1" applyFont="1" applyBorder="1"/>
    <xf numFmtId="0" fontId="0" fillId="0" borderId="13" xfId="0" applyBorder="1"/>
    <xf numFmtId="0" fontId="0" fillId="0" borderId="14" xfId="0" applyBorder="1"/>
    <xf numFmtId="164" fontId="2" fillId="0" borderId="1" xfId="0" applyNumberFormat="1" applyFont="1" applyBorder="1"/>
    <xf numFmtId="0" fontId="2" fillId="0" borderId="15" xfId="0" applyFont="1" applyBorder="1"/>
    <xf numFmtId="0" fontId="0" fillId="0" borderId="15" xfId="0" applyBorder="1"/>
    <xf numFmtId="0" fontId="0" fillId="0" borderId="16" xfId="0" applyBorder="1"/>
    <xf numFmtId="0" fontId="2" fillId="0" borderId="16" xfId="0" applyFont="1" applyBorder="1"/>
    <xf numFmtId="0" fontId="4" fillId="0" borderId="8" xfId="0" applyFont="1" applyBorder="1" applyAlignment="1">
      <alignment vertical="center"/>
    </xf>
    <xf numFmtId="0" fontId="2" fillId="0" borderId="6" xfId="0" applyFont="1" applyBorder="1"/>
    <xf numFmtId="0" fontId="2" fillId="0" borderId="12" xfId="0" applyFont="1" applyBorder="1"/>
    <xf numFmtId="0" fontId="2" fillId="0" borderId="17" xfId="0" applyFont="1" applyBorder="1"/>
    <xf numFmtId="0" fontId="2" fillId="0" borderId="1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7" xfId="0" applyFont="1" applyBorder="1"/>
    <xf numFmtId="164" fontId="1" fillId="0" borderId="21" xfId="1" applyNumberFormat="1" applyFont="1" applyBorder="1"/>
    <xf numFmtId="164" fontId="1" fillId="0" borderId="21" xfId="1" applyNumberFormat="1" applyFont="1" applyBorder="1" applyAlignment="1">
      <alignment vertical="center"/>
    </xf>
    <xf numFmtId="164" fontId="2" fillId="0" borderId="22" xfId="1" applyNumberFormat="1" applyFont="1" applyBorder="1"/>
    <xf numFmtId="0" fontId="0" fillId="0" borderId="21" xfId="0" applyBorder="1"/>
    <xf numFmtId="164" fontId="0" fillId="0" borderId="21" xfId="1" applyNumberFormat="1" applyFont="1" applyBorder="1"/>
    <xf numFmtId="164" fontId="2" fillId="0" borderId="22" xfId="0" applyNumberFormat="1" applyFont="1" applyBorder="1"/>
    <xf numFmtId="0" fontId="7" fillId="0" borderId="21" xfId="0" applyFont="1" applyBorder="1" applyAlignment="1">
      <alignment vertical="center"/>
    </xf>
    <xf numFmtId="164" fontId="0" fillId="0" borderId="23" xfId="1" applyNumberFormat="1" applyFont="1" applyBorder="1"/>
    <xf numFmtId="164" fontId="12" fillId="0" borderId="21" xfId="0" applyNumberFormat="1" applyFont="1" applyBorder="1" applyAlignment="1">
      <alignment vertical="center"/>
    </xf>
    <xf numFmtId="164" fontId="12" fillId="0" borderId="7" xfId="0" applyNumberFormat="1" applyFont="1" applyBorder="1" applyAlignment="1">
      <alignment vertical="center"/>
    </xf>
    <xf numFmtId="10" fontId="13" fillId="0" borderId="21" xfId="2" applyNumberFormat="1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1" fontId="2" fillId="0" borderId="2" xfId="0" applyNumberFormat="1" applyFont="1" applyBorder="1"/>
    <xf numFmtId="0" fontId="2" fillId="0" borderId="2" xfId="0" applyFont="1" applyBorder="1"/>
    <xf numFmtId="0" fontId="0" fillId="0" borderId="2" xfId="0" applyBorder="1"/>
    <xf numFmtId="164" fontId="2" fillId="0" borderId="2" xfId="1" applyNumberFormat="1" applyFont="1" applyBorder="1"/>
    <xf numFmtId="164" fontId="6" fillId="0" borderId="0" xfId="1" applyNumberFormat="1" applyFont="1"/>
    <xf numFmtId="164" fontId="1" fillId="0" borderId="0" xfId="1" applyNumberFormat="1" applyFont="1"/>
    <xf numFmtId="164" fontId="0" fillId="0" borderId="5" xfId="1" applyNumberFormat="1" applyFont="1" applyBorder="1"/>
    <xf numFmtId="164" fontId="6" fillId="0" borderId="5" xfId="1" applyNumberFormat="1" applyFont="1" applyBorder="1" applyAlignment="1"/>
    <xf numFmtId="0" fontId="2" fillId="0" borderId="24" xfId="0" applyFont="1" applyBorder="1"/>
    <xf numFmtId="0" fontId="0" fillId="0" borderId="25" xfId="0" applyBorder="1"/>
    <xf numFmtId="164" fontId="2" fillId="0" borderId="25" xfId="0" applyNumberFormat="1" applyFont="1" applyBorder="1"/>
    <xf numFmtId="164" fontId="0" fillId="0" borderId="9" xfId="0" applyNumberFormat="1" applyBorder="1"/>
    <xf numFmtId="164" fontId="10" fillId="0" borderId="5" xfId="1" applyNumberFormat="1" applyFont="1" applyBorder="1" applyAlignment="1"/>
    <xf numFmtId="164" fontId="12" fillId="0" borderId="16" xfId="1" applyNumberFormat="1" applyFont="1" applyBorder="1" applyAlignment="1"/>
    <xf numFmtId="164" fontId="10" fillId="0" borderId="5" xfId="1" applyNumberFormat="1" applyFont="1" applyBorder="1" applyAlignment="1">
      <alignment vertical="center"/>
    </xf>
    <xf numFmtId="164" fontId="0" fillId="0" borderId="6" xfId="1" applyNumberFormat="1" applyFont="1" applyBorder="1"/>
    <xf numFmtId="164" fontId="0" fillId="0" borderId="12" xfId="1" applyNumberFormat="1" applyFont="1" applyBorder="1"/>
    <xf numFmtId="1" fontId="0" fillId="0" borderId="12" xfId="0" applyNumberFormat="1" applyBorder="1"/>
    <xf numFmtId="1" fontId="0" fillId="0" borderId="16" xfId="0" applyNumberFormat="1" applyBorder="1"/>
    <xf numFmtId="164" fontId="12" fillId="0" borderId="16" xfId="1" applyNumberFormat="1" applyFont="1" applyBorder="1" applyAlignment="1">
      <alignment vertical="center"/>
    </xf>
    <xf numFmtId="164" fontId="2" fillId="0" borderId="16" xfId="1" applyNumberFormat="1" applyFont="1" applyBorder="1"/>
    <xf numFmtId="164" fontId="2" fillId="0" borderId="12" xfId="1" applyNumberFormat="1" applyFont="1" applyBorder="1"/>
    <xf numFmtId="164" fontId="12" fillId="0" borderId="12" xfId="0" applyNumberFormat="1" applyFont="1" applyBorder="1" applyAlignment="1">
      <alignment vertical="center"/>
    </xf>
    <xf numFmtId="164" fontId="0" fillId="0" borderId="6" xfId="1" applyNumberFormat="1" applyFont="1" applyFill="1" applyBorder="1"/>
    <xf numFmtId="164" fontId="2" fillId="0" borderId="16" xfId="0" applyNumberFormat="1" applyFont="1" applyBorder="1"/>
    <xf numFmtId="164" fontId="6" fillId="0" borderId="5" xfId="1" applyNumberFormat="1" applyFont="1" applyBorder="1"/>
    <xf numFmtId="164" fontId="0" fillId="0" borderId="14" xfId="1" applyNumberFormat="1" applyFont="1" applyBorder="1"/>
    <xf numFmtId="164" fontId="0" fillId="0" borderId="14" xfId="0" applyNumberFormat="1" applyBorder="1"/>
    <xf numFmtId="164" fontId="10" fillId="0" borderId="14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2" fillId="0" borderId="3" xfId="0" applyFont="1" applyBorder="1"/>
    <xf numFmtId="0" fontId="2" fillId="0" borderId="9" xfId="0" applyFont="1" applyBorder="1"/>
    <xf numFmtId="164" fontId="1" fillId="0" borderId="5" xfId="1" applyNumberFormat="1" applyFont="1" applyBorder="1"/>
    <xf numFmtId="0" fontId="2" fillId="0" borderId="5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164" fontId="2" fillId="0" borderId="29" xfId="0" applyNumberFormat="1" applyFont="1" applyBorder="1"/>
    <xf numFmtId="164" fontId="0" fillId="0" borderId="5" xfId="1" applyNumberFormat="1" applyFont="1" applyBorder="1" applyAlignment="1"/>
    <xf numFmtId="0" fontId="4" fillId="0" borderId="10" xfId="0" applyFont="1" applyBorder="1" applyAlignment="1">
      <alignment vertical="center"/>
    </xf>
    <xf numFmtId="164" fontId="0" fillId="0" borderId="20" xfId="0" applyNumberFormat="1" applyBorder="1"/>
    <xf numFmtId="0" fontId="2" fillId="0" borderId="27" xfId="0" applyFont="1" applyBorder="1" applyAlignment="1">
      <alignment vertical="center"/>
    </xf>
    <xf numFmtId="0" fontId="0" fillId="0" borderId="28" xfId="0" applyBorder="1"/>
    <xf numFmtId="0" fontId="0" fillId="0" borderId="29" xfId="0" applyBorder="1"/>
    <xf numFmtId="164" fontId="2" fillId="0" borderId="29" xfId="1" applyNumberFormat="1" applyFont="1" applyBorder="1"/>
    <xf numFmtId="164" fontId="19" fillId="2" borderId="0" xfId="0" applyNumberFormat="1" applyFont="1" applyFill="1"/>
    <xf numFmtId="164" fontId="19" fillId="2" borderId="0" xfId="1" applyNumberFormat="1" applyFont="1" applyFill="1"/>
    <xf numFmtId="0" fontId="13" fillId="0" borderId="0" xfId="0" applyFont="1"/>
    <xf numFmtId="0" fontId="13" fillId="0" borderId="0" xfId="0" applyFont="1" applyAlignment="1">
      <alignment vertical="center"/>
    </xf>
    <xf numFmtId="0" fontId="2" fillId="3" borderId="11" xfId="0" applyFont="1" applyFill="1" applyBorder="1"/>
    <xf numFmtId="0" fontId="2" fillId="3" borderId="6" xfId="0" applyFont="1" applyFill="1" applyBorder="1"/>
    <xf numFmtId="1" fontId="2" fillId="3" borderId="12" xfId="0" applyNumberFormat="1" applyFont="1" applyFill="1" applyBorder="1"/>
    <xf numFmtId="1" fontId="12" fillId="3" borderId="12" xfId="1" applyNumberFormat="1" applyFont="1" applyFill="1" applyBorder="1" applyAlignment="1">
      <alignment vertical="center"/>
    </xf>
    <xf numFmtId="164" fontId="12" fillId="0" borderId="5" xfId="0" applyNumberFormat="1" applyFont="1" applyBorder="1" applyAlignment="1">
      <alignment vertical="center"/>
    </xf>
    <xf numFmtId="164" fontId="10" fillId="0" borderId="21" xfId="0" applyNumberFormat="1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164" fontId="0" fillId="0" borderId="21" xfId="0" applyNumberFormat="1" applyBorder="1"/>
    <xf numFmtId="164" fontId="2" fillId="0" borderId="7" xfId="1" applyNumberFormat="1" applyFont="1" applyBorder="1"/>
    <xf numFmtId="1" fontId="0" fillId="0" borderId="21" xfId="0" applyNumberFormat="1" applyBorder="1"/>
    <xf numFmtId="164" fontId="12" fillId="0" borderId="22" xfId="1" applyNumberFormat="1" applyFont="1" applyBorder="1" applyAlignment="1">
      <alignment vertical="center"/>
    </xf>
    <xf numFmtId="164" fontId="10" fillId="0" borderId="21" xfId="1" applyNumberFormat="1" applyFont="1" applyBorder="1" applyAlignment="1">
      <alignment vertical="center"/>
    </xf>
    <xf numFmtId="1" fontId="12" fillId="3" borderId="7" xfId="1" applyNumberFormat="1" applyFont="1" applyFill="1" applyBorder="1" applyAlignment="1">
      <alignment vertical="center"/>
    </xf>
    <xf numFmtId="164" fontId="2" fillId="0" borderId="26" xfId="0" applyNumberFormat="1" applyFont="1" applyBorder="1"/>
    <xf numFmtId="164" fontId="2" fillId="0" borderId="26" xfId="1" applyNumberFormat="1" applyFont="1" applyBorder="1"/>
    <xf numFmtId="0" fontId="2" fillId="0" borderId="21" xfId="0" applyFont="1" applyBorder="1"/>
    <xf numFmtId="0" fontId="2" fillId="0" borderId="26" xfId="0" applyFont="1" applyBorder="1"/>
    <xf numFmtId="164" fontId="2" fillId="0" borderId="7" xfId="0" applyNumberFormat="1" applyFont="1" applyBorder="1"/>
    <xf numFmtId="0" fontId="0" fillId="0" borderId="7" xfId="0" applyBorder="1"/>
    <xf numFmtId="164" fontId="6" fillId="0" borderId="21" xfId="1" applyNumberFormat="1" applyFont="1" applyBorder="1"/>
    <xf numFmtId="164" fontId="2" fillId="0" borderId="21" xfId="0" applyNumberFormat="1" applyFont="1" applyBorder="1"/>
    <xf numFmtId="164" fontId="6" fillId="0" borderId="21" xfId="0" applyNumberFormat="1" applyFont="1" applyBorder="1"/>
    <xf numFmtId="2" fontId="12" fillId="0" borderId="12" xfId="2" applyNumberFormat="1" applyFont="1" applyBorder="1" applyAlignment="1">
      <alignment vertical="center"/>
    </xf>
    <xf numFmtId="164" fontId="12" fillId="0" borderId="22" xfId="0" applyNumberFormat="1" applyFont="1" applyBorder="1" applyAlignment="1">
      <alignment vertical="center"/>
    </xf>
    <xf numFmtId="10" fontId="13" fillId="0" borderId="20" xfId="2" applyNumberFormat="1" applyFont="1" applyBorder="1" applyAlignment="1">
      <alignment vertical="center"/>
    </xf>
    <xf numFmtId="0" fontId="13" fillId="0" borderId="10" xfId="0" applyFont="1" applyBorder="1" applyAlignment="1">
      <alignment horizontal="left" vertical="top"/>
    </xf>
    <xf numFmtId="10" fontId="6" fillId="0" borderId="5" xfId="2" applyNumberFormat="1" applyFont="1" applyBorder="1"/>
    <xf numFmtId="0" fontId="6" fillId="0" borderId="5" xfId="0" applyFont="1" applyBorder="1"/>
    <xf numFmtId="10" fontId="6" fillId="0" borderId="5" xfId="0" applyNumberFormat="1" applyFont="1" applyBorder="1"/>
    <xf numFmtId="10" fontId="0" fillId="0" borderId="5" xfId="0" applyNumberFormat="1" applyBorder="1"/>
    <xf numFmtId="9" fontId="6" fillId="0" borderId="5" xfId="0" applyNumberFormat="1" applyFont="1" applyBorder="1"/>
    <xf numFmtId="10" fontId="2" fillId="0" borderId="12" xfId="0" applyNumberFormat="1" applyFont="1" applyBorder="1"/>
    <xf numFmtId="0" fontId="13" fillId="0" borderId="19" xfId="0" applyFont="1" applyBorder="1" applyAlignment="1">
      <alignment horizontal="left" vertical="top"/>
    </xf>
    <xf numFmtId="10" fontId="0" fillId="0" borderId="0" xfId="0" applyNumberFormat="1"/>
    <xf numFmtId="0" fontId="2" fillId="0" borderId="11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64" fontId="2" fillId="0" borderId="9" xfId="0" applyNumberFormat="1" applyFont="1" applyBorder="1"/>
    <xf numFmtId="0" fontId="19" fillId="2" borderId="0" xfId="0" applyFont="1" applyFill="1"/>
    <xf numFmtId="0" fontId="20" fillId="2" borderId="0" xfId="0" applyFont="1" applyFill="1"/>
    <xf numFmtId="15" fontId="19" fillId="2" borderId="0" xfId="0" applyNumberFormat="1" applyFont="1" applyFill="1"/>
    <xf numFmtId="0" fontId="9" fillId="0" borderId="0" xfId="0" applyFont="1" applyAlignment="1">
      <alignment vertical="center"/>
    </xf>
    <xf numFmtId="0" fontId="2" fillId="0" borderId="9" xfId="0" applyFont="1" applyBorder="1" applyAlignment="1">
      <alignment horizontal="right"/>
    </xf>
    <xf numFmtId="0" fontId="19" fillId="0" borderId="0" xfId="0" applyFont="1"/>
    <xf numFmtId="0" fontId="20" fillId="0" borderId="0" xfId="0" applyFont="1"/>
    <xf numFmtId="15" fontId="19" fillId="0" borderId="0" xfId="0" applyNumberFormat="1" applyFont="1"/>
    <xf numFmtId="0" fontId="13" fillId="0" borderId="4" xfId="0" applyFont="1" applyBorder="1"/>
    <xf numFmtId="0" fontId="21" fillId="0" borderId="0" xfId="0" applyFont="1"/>
    <xf numFmtId="0" fontId="24" fillId="0" borderId="10" xfId="0" applyFont="1" applyBorder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2" fillId="2" borderId="0" xfId="0" applyFont="1" applyFill="1" applyAlignment="1">
      <alignment horizontal="right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816611"/>
      <color rgb="FFAA87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388898968274127E-2"/>
          <c:y val="1.604927225005965E-2"/>
          <c:w val="0.9886103243534301"/>
          <c:h val="0.7909371264860721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rgbClr val="816611"/>
              </a:solidFill>
              <a:round/>
            </a:ln>
            <a:effectLst/>
          </c:spPr>
          <c:marker>
            <c:symbol val="none"/>
          </c:marker>
          <c:val>
            <c:numRef>
              <c:f>VALUATION!$N$9:$N$11</c:f>
              <c:numCache>
                <c:formatCode>_ * #,##0_ ;_ * \-#,##0_ ;_ * "-"??_ ;_ @_ </c:formatCode>
                <c:ptCount val="3"/>
                <c:pt idx="0">
                  <c:v>10000000</c:v>
                </c:pt>
                <c:pt idx="1">
                  <c:v>23576296.076778956</c:v>
                </c:pt>
                <c:pt idx="2">
                  <c:v>86408170.134081781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1-4473-B15B-7D1C51EE3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581040"/>
        <c:axId val="1080604560"/>
      </c:lineChart>
      <c:catAx>
        <c:axId val="10805810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80604560"/>
        <c:crosses val="autoZero"/>
        <c:auto val="1"/>
        <c:lblAlgn val="ctr"/>
        <c:lblOffset val="100"/>
        <c:noMultiLvlLbl val="0"/>
      </c:catAx>
      <c:valAx>
        <c:axId val="1080604560"/>
        <c:scaling>
          <c:orientation val="minMax"/>
        </c:scaling>
        <c:delete val="1"/>
        <c:axPos val="l"/>
        <c:numFmt formatCode="_ * #,##0_ ;_ * \-#,##0_ ;_ * &quot;-&quot;??_ ;_ @_ " sourceLinked="1"/>
        <c:majorTickMark val="none"/>
        <c:minorTickMark val="none"/>
        <c:tickLblPos val="nextTo"/>
        <c:crossAx val="10805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601980</xdr:colOff>
      <xdr:row>0</xdr:row>
      <xdr:rowOff>30480</xdr:rowOff>
    </xdr:from>
    <xdr:to>
      <xdr:col>3</xdr:col>
      <xdr:colOff>457200</xdr:colOff>
      <xdr:row>3</xdr:row>
      <xdr:rowOff>38100</xdr:rowOff>
    </xdr:to>
    <xdr:pic>
      <xdr:nvPicPr>
        <xdr:cNvPr id="2" name="Graphic 1" descr="Cow with solid fill">
          <a:extLst>
            <a:ext uri="{FF2B5EF4-FFF2-40B4-BE49-F238E27FC236}">
              <a16:creationId xmlns:a16="http://schemas.microsoft.com/office/drawing/2014/main" id="{ABAE1F3A-893B-4908-AC48-37E27C84C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4460" y="30480"/>
          <a:ext cx="464820" cy="4648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601980</xdr:colOff>
      <xdr:row>0</xdr:row>
      <xdr:rowOff>30480</xdr:rowOff>
    </xdr:from>
    <xdr:to>
      <xdr:col>3</xdr:col>
      <xdr:colOff>457200</xdr:colOff>
      <xdr:row>3</xdr:row>
      <xdr:rowOff>38100</xdr:rowOff>
    </xdr:to>
    <xdr:pic>
      <xdr:nvPicPr>
        <xdr:cNvPr id="3" name="Graphic 2" descr="Cow with solid fill">
          <a:extLst>
            <a:ext uri="{FF2B5EF4-FFF2-40B4-BE49-F238E27FC236}">
              <a16:creationId xmlns:a16="http://schemas.microsoft.com/office/drawing/2014/main" id="{A93146DC-7FBF-C457-1713-B89EABD8D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1600" y="30480"/>
          <a:ext cx="464820" cy="4648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601980</xdr:colOff>
      <xdr:row>0</xdr:row>
      <xdr:rowOff>30480</xdr:rowOff>
    </xdr:from>
    <xdr:to>
      <xdr:col>3</xdr:col>
      <xdr:colOff>457200</xdr:colOff>
      <xdr:row>3</xdr:row>
      <xdr:rowOff>38100</xdr:rowOff>
    </xdr:to>
    <xdr:pic>
      <xdr:nvPicPr>
        <xdr:cNvPr id="2" name="Graphic 1" descr="Cow with solid fill">
          <a:extLst>
            <a:ext uri="{FF2B5EF4-FFF2-40B4-BE49-F238E27FC236}">
              <a16:creationId xmlns:a16="http://schemas.microsoft.com/office/drawing/2014/main" id="{827E91D6-5A3E-4A1A-A7A4-EC1D8C72A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94460" y="30480"/>
          <a:ext cx="464820" cy="464820"/>
        </a:xfrm>
        <a:prstGeom prst="rect">
          <a:avLst/>
        </a:prstGeom>
      </xdr:spPr>
    </xdr:pic>
    <xdr:clientData/>
  </xdr:twoCellAnchor>
  <xdr:twoCellAnchor>
    <xdr:from>
      <xdr:col>13</xdr:col>
      <xdr:colOff>144780</xdr:colOff>
      <xdr:row>11</xdr:row>
      <xdr:rowOff>7621</xdr:rowOff>
    </xdr:from>
    <xdr:to>
      <xdr:col>13</xdr:col>
      <xdr:colOff>753241</xdr:colOff>
      <xdr:row>12</xdr:row>
      <xdr:rowOff>43794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07851-5AE4-95C0-34FD-6D583D9AA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C2C4-0661-40B3-9113-2D5C16BDCBFF}">
  <sheetPr>
    <outlinePr summaryBelow="0"/>
  </sheetPr>
  <dimension ref="B1:Q82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0" sqref="F10"/>
    </sheetView>
  </sheetViews>
  <sheetFormatPr defaultRowHeight="14.4" outlineLevelRow="1" x14ac:dyDescent="0.3"/>
  <cols>
    <col min="1" max="1" width="1.77734375" customWidth="1"/>
    <col min="2" max="2" width="9.77734375" bestFit="1" customWidth="1"/>
    <col min="4" max="4" width="12.33203125" bestFit="1" customWidth="1"/>
    <col min="5" max="6" width="13.88671875" bestFit="1" customWidth="1"/>
    <col min="8" max="8" width="11.44140625" bestFit="1" customWidth="1"/>
    <col min="9" max="13" width="10" bestFit="1" customWidth="1"/>
    <col min="14" max="17" width="11.33203125" bestFit="1" customWidth="1"/>
  </cols>
  <sheetData>
    <row r="1" spans="2:17" ht="7.5" customHeight="1" x14ac:dyDescent="0.3"/>
    <row r="2" spans="2:17" ht="14.4" customHeight="1" x14ac:dyDescent="0.3">
      <c r="B2" s="172" t="s">
        <v>0</v>
      </c>
      <c r="C2" s="172"/>
      <c r="D2" s="172"/>
      <c r="E2" s="172"/>
      <c r="F2" s="172"/>
      <c r="G2" s="172"/>
      <c r="H2" s="172"/>
      <c r="I2" s="1"/>
      <c r="J2" s="1"/>
      <c r="K2" s="1"/>
      <c r="L2" s="175" t="s">
        <v>111</v>
      </c>
      <c r="M2" s="175"/>
      <c r="N2" s="175"/>
      <c r="O2" s="175"/>
      <c r="Q2" s="98" t="s">
        <v>49</v>
      </c>
    </row>
    <row r="3" spans="2:17" ht="14.4" customHeight="1" x14ac:dyDescent="0.3">
      <c r="B3" s="172"/>
      <c r="C3" s="172"/>
      <c r="D3" s="172"/>
      <c r="E3" s="172"/>
      <c r="F3" s="172"/>
      <c r="G3" s="172"/>
      <c r="H3" s="172"/>
      <c r="I3" s="1"/>
      <c r="J3" s="1"/>
      <c r="K3" s="1"/>
      <c r="L3" s="175"/>
      <c r="M3" s="175"/>
      <c r="N3" s="175"/>
      <c r="O3" s="175"/>
      <c r="Q3" s="37"/>
    </row>
    <row r="5" spans="2:17" x14ac:dyDescent="0.3">
      <c r="B5" s="173" t="s">
        <v>71</v>
      </c>
      <c r="C5" s="174"/>
      <c r="D5" s="174"/>
      <c r="E5" s="174"/>
    </row>
    <row r="6" spans="2:17" x14ac:dyDescent="0.3">
      <c r="B6" s="174"/>
      <c r="C6" s="174"/>
      <c r="D6" s="174"/>
      <c r="E6" s="174"/>
    </row>
    <row r="7" spans="2:17" outlineLevel="1" x14ac:dyDescent="0.3"/>
    <row r="8" spans="2:17" ht="14.4" customHeight="1" outlineLevel="1" x14ac:dyDescent="0.3">
      <c r="B8" s="120" t="s">
        <v>51</v>
      </c>
    </row>
    <row r="9" spans="2:17" ht="14.4" customHeight="1" outlineLevel="1" x14ac:dyDescent="0.3">
      <c r="B9" s="48"/>
      <c r="C9" s="20"/>
      <c r="D9" s="21"/>
      <c r="E9" s="56">
        <v>2024</v>
      </c>
      <c r="F9" s="50">
        <v>2025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2:17" outlineLevel="1" x14ac:dyDescent="0.3">
      <c r="B10" s="22" t="s">
        <v>52</v>
      </c>
      <c r="D10" s="17"/>
      <c r="E10" s="57">
        <f>SUM('LINE ITEMS'!H15:S15)</f>
        <v>6842970.8055072054</v>
      </c>
      <c r="F10" s="75">
        <f>SUM('LINE ITEMS'!H66:S66)</f>
        <v>21476173.757077187</v>
      </c>
    </row>
    <row r="11" spans="2:17" outlineLevel="1" x14ac:dyDescent="0.3">
      <c r="B11" s="22" t="s">
        <v>53</v>
      </c>
      <c r="D11" s="17"/>
      <c r="E11" s="58">
        <f>SUM('LINE ITEMS'!H16:S16)</f>
        <v>2304542.4287862009</v>
      </c>
      <c r="F11" s="75">
        <f>SUM('LINE ITEMS'!H67:S67)</f>
        <v>12124869.457990561</v>
      </c>
      <c r="H11" s="32"/>
      <c r="I11" s="33"/>
      <c r="J11" s="33"/>
      <c r="K11" s="33"/>
      <c r="L11" s="33"/>
      <c r="M11" s="33"/>
      <c r="N11" s="33"/>
      <c r="O11" s="33"/>
      <c r="P11" s="33"/>
      <c r="Q11" s="33"/>
    </row>
    <row r="12" spans="2:17" outlineLevel="1" x14ac:dyDescent="0.3">
      <c r="B12" s="51" t="s">
        <v>54</v>
      </c>
      <c r="C12" s="44"/>
      <c r="D12" s="47"/>
      <c r="E12" s="59">
        <f>E11+E10</f>
        <v>9147513.2342934068</v>
      </c>
      <c r="F12" s="59">
        <f>F11+F10</f>
        <v>33601043.215067744</v>
      </c>
      <c r="H12" s="32"/>
      <c r="I12" s="33"/>
      <c r="J12" s="33"/>
      <c r="K12" s="33"/>
      <c r="L12" s="33"/>
      <c r="M12" s="33"/>
      <c r="N12" s="33"/>
      <c r="O12" s="33"/>
      <c r="P12" s="33"/>
      <c r="Q12" s="33"/>
    </row>
    <row r="13" spans="2:17" outlineLevel="1" x14ac:dyDescent="0.3">
      <c r="B13" s="22"/>
      <c r="D13" s="17"/>
      <c r="E13" s="60"/>
      <c r="F13" s="17"/>
    </row>
    <row r="14" spans="2:17" outlineLevel="1" x14ac:dyDescent="0.3">
      <c r="B14" s="22" t="s">
        <v>1</v>
      </c>
      <c r="D14" s="38"/>
      <c r="E14" s="61">
        <f>'LINE ITEMS'!D19</f>
        <v>4323778.1722780522</v>
      </c>
      <c r="F14" s="75">
        <f>'LINE ITEMS'!D70</f>
        <v>14624573.813127572</v>
      </c>
    </row>
    <row r="15" spans="2:17" outlineLevel="1" x14ac:dyDescent="0.3">
      <c r="B15" s="51" t="s">
        <v>55</v>
      </c>
      <c r="C15" s="45"/>
      <c r="D15" s="46"/>
      <c r="E15" s="62">
        <f>E12-E14</f>
        <v>4823735.0620153546</v>
      </c>
      <c r="F15" s="62">
        <f>F12-F14</f>
        <v>18976469.401940174</v>
      </c>
    </row>
    <row r="16" spans="2:17" outlineLevel="1" x14ac:dyDescent="0.3">
      <c r="B16" s="68" t="s">
        <v>56</v>
      </c>
      <c r="D16" s="17"/>
      <c r="E16" s="67">
        <f>E15/E12</f>
        <v>0.52732747561725291</v>
      </c>
      <c r="F16" s="67">
        <f>F15/F12</f>
        <v>0.56475834040267359</v>
      </c>
      <c r="G16" s="3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2:17" outlineLevel="1" x14ac:dyDescent="0.3">
      <c r="B17" s="22"/>
      <c r="D17" s="17"/>
      <c r="E17" s="63"/>
      <c r="F17" s="39"/>
      <c r="G17" s="3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2:17" outlineLevel="1" x14ac:dyDescent="0.3">
      <c r="B18" s="22" t="s">
        <v>31</v>
      </c>
      <c r="D18" s="17"/>
      <c r="E18" s="61">
        <f>'LINE ITEMS'!D26</f>
        <v>2808000</v>
      </c>
      <c r="F18" s="75">
        <f>'LINE ITEMS'!D77</f>
        <v>3775200</v>
      </c>
      <c r="G18" s="3"/>
      <c r="H18" s="36"/>
      <c r="I18" s="36"/>
      <c r="J18" s="36"/>
      <c r="K18" s="36"/>
      <c r="L18" s="36"/>
      <c r="M18" s="36"/>
      <c r="N18" s="36"/>
      <c r="O18" s="36"/>
      <c r="P18" s="36"/>
      <c r="Q18" s="36"/>
    </row>
    <row r="19" spans="2:17" outlineLevel="1" x14ac:dyDescent="0.3">
      <c r="B19" s="51" t="s">
        <v>57</v>
      </c>
      <c r="C19" s="45"/>
      <c r="D19" s="46"/>
      <c r="E19" s="59">
        <f>E15-E18</f>
        <v>2015735.0620153546</v>
      </c>
      <c r="F19" s="59">
        <f>F15-F18</f>
        <v>15201269.401940174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outlineLevel="1" x14ac:dyDescent="0.3">
      <c r="B20" s="68" t="s">
        <v>115</v>
      </c>
      <c r="D20" s="17"/>
      <c r="E20" s="67">
        <f>E19/E12</f>
        <v>0.22035880248399101</v>
      </c>
      <c r="F20" s="67">
        <f>F19/F12</f>
        <v>0.45240468590937843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outlineLevel="1" x14ac:dyDescent="0.3">
      <c r="B21" s="52"/>
      <c r="D21" s="40"/>
      <c r="E21" s="60"/>
      <c r="F21" s="17"/>
    </row>
    <row r="22" spans="2:17" outlineLevel="1" x14ac:dyDescent="0.3">
      <c r="B22" s="53" t="s">
        <v>44</v>
      </c>
      <c r="C22" s="41"/>
      <c r="D22" s="42"/>
      <c r="E22" s="64">
        <f>'LINE ITEMS'!D47</f>
        <v>80000</v>
      </c>
      <c r="F22" s="42">
        <f>'LINE ITEMS'!D98</f>
        <v>160000</v>
      </c>
    </row>
    <row r="23" spans="2:17" outlineLevel="1" x14ac:dyDescent="0.3">
      <c r="B23" s="52" t="s">
        <v>58</v>
      </c>
      <c r="D23" s="17"/>
      <c r="E23" s="65">
        <f>E19-E22</f>
        <v>1935735.0620153546</v>
      </c>
      <c r="F23" s="65">
        <f>F19-F22</f>
        <v>15041269.401940174</v>
      </c>
      <c r="H23" s="35"/>
      <c r="I23" s="35"/>
      <c r="J23" s="35"/>
      <c r="K23" s="35"/>
      <c r="L23" s="35"/>
      <c r="M23" s="35"/>
      <c r="N23" s="35"/>
      <c r="O23" s="35"/>
      <c r="P23" s="35"/>
      <c r="Q23" s="35"/>
    </row>
    <row r="24" spans="2:17" outlineLevel="1" x14ac:dyDescent="0.3">
      <c r="B24" s="68" t="s">
        <v>116</v>
      </c>
      <c r="D24" s="17"/>
      <c r="E24" s="67">
        <f>E23/E12</f>
        <v>0.21161325624087815</v>
      </c>
      <c r="F24" s="67">
        <f>F23/F12</f>
        <v>0.44764292899082386</v>
      </c>
      <c r="H24" s="35"/>
      <c r="I24" s="35"/>
      <c r="J24" s="35"/>
      <c r="K24" s="35"/>
      <c r="L24" s="35"/>
      <c r="M24" s="35"/>
      <c r="N24" s="35"/>
      <c r="O24" s="35"/>
      <c r="P24" s="35"/>
      <c r="Q24" s="35"/>
    </row>
    <row r="25" spans="2:17" outlineLevel="1" x14ac:dyDescent="0.3">
      <c r="B25" s="68"/>
      <c r="D25" s="17"/>
      <c r="E25" s="65"/>
      <c r="F25" s="125"/>
      <c r="H25" s="35"/>
      <c r="I25" s="35"/>
      <c r="J25" s="35"/>
      <c r="K25" s="35"/>
      <c r="L25" s="35"/>
      <c r="M25" s="35"/>
      <c r="N25" s="35"/>
      <c r="O25" s="35"/>
      <c r="P25" s="35"/>
      <c r="Q25" s="35"/>
    </row>
    <row r="26" spans="2:17" outlineLevel="1" x14ac:dyDescent="0.3">
      <c r="B26" s="22" t="s">
        <v>114</v>
      </c>
      <c r="D26" s="17"/>
      <c r="E26" s="126">
        <f>30% * E23</f>
        <v>580720.51860460639</v>
      </c>
      <c r="F26" s="126">
        <f>30% * F23</f>
        <v>4512380.8205820518</v>
      </c>
      <c r="H26" s="35"/>
      <c r="I26" s="35"/>
      <c r="J26" s="35"/>
      <c r="K26" s="35"/>
      <c r="L26" s="35"/>
      <c r="M26" s="35"/>
      <c r="N26" s="35"/>
      <c r="O26" s="35"/>
      <c r="P26" s="35"/>
      <c r="Q26" s="35"/>
    </row>
    <row r="27" spans="2:17" outlineLevel="1" x14ac:dyDescent="0.3">
      <c r="B27" s="22"/>
      <c r="D27" s="17"/>
      <c r="E27" s="63"/>
      <c r="F27" s="17"/>
      <c r="H27" s="35"/>
      <c r="I27" s="35"/>
      <c r="J27" s="35"/>
      <c r="K27" s="35"/>
      <c r="L27" s="35"/>
      <c r="M27" s="35"/>
      <c r="N27" s="35"/>
      <c r="O27" s="35"/>
      <c r="P27" s="35"/>
      <c r="Q27" s="35"/>
    </row>
    <row r="28" spans="2:17" outlineLevel="1" x14ac:dyDescent="0.3">
      <c r="B28" s="51" t="s">
        <v>59</v>
      </c>
      <c r="C28" s="45"/>
      <c r="D28" s="46"/>
      <c r="E28" s="145">
        <f>E23-E26</f>
        <v>1355014.5434107482</v>
      </c>
      <c r="F28" s="145">
        <f>F23-F26</f>
        <v>10528888.581358124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</row>
    <row r="29" spans="2:17" outlineLevel="1" x14ac:dyDescent="0.3">
      <c r="B29" s="68" t="s">
        <v>117</v>
      </c>
      <c r="E29" s="67">
        <f>E28/E12</f>
        <v>0.1481292793686147</v>
      </c>
      <c r="F29" s="67">
        <f>F28/F12</f>
        <v>0.31335005029357677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</row>
    <row r="30" spans="2:17" outlineLevel="1" x14ac:dyDescent="0.3">
      <c r="B30" s="127"/>
      <c r="D30" s="55"/>
      <c r="E30" s="146"/>
      <c r="F30" s="146"/>
      <c r="H30" s="35"/>
      <c r="I30" s="35"/>
      <c r="J30" s="35"/>
      <c r="K30" s="35"/>
      <c r="L30" s="35"/>
      <c r="M30" s="35"/>
      <c r="N30" s="35"/>
      <c r="O30" s="35"/>
      <c r="P30" s="35"/>
      <c r="Q30" s="35"/>
    </row>
    <row r="31" spans="2:17" outlineLevel="1" x14ac:dyDescent="0.3">
      <c r="B31" s="27" t="s">
        <v>118</v>
      </c>
      <c r="C31" s="18"/>
      <c r="D31" s="28"/>
      <c r="E31" s="144">
        <f>E28/1000000</f>
        <v>1.3550145434107483</v>
      </c>
      <c r="F31" s="144">
        <f>F28/1000000</f>
        <v>10.528888581358123</v>
      </c>
      <c r="H31" s="35"/>
      <c r="I31" s="35"/>
      <c r="J31" s="35"/>
      <c r="K31" s="35"/>
      <c r="L31" s="35"/>
      <c r="M31" s="35"/>
      <c r="N31" s="35"/>
      <c r="O31" s="35"/>
      <c r="P31" s="35"/>
      <c r="Q31" s="35"/>
    </row>
    <row r="32" spans="2:17" x14ac:dyDescent="0.3">
      <c r="B32" s="33"/>
      <c r="C32" s="3"/>
      <c r="D32" s="3"/>
      <c r="E32" s="3"/>
      <c r="F32" s="3"/>
      <c r="G32" s="3"/>
      <c r="H32" s="33"/>
      <c r="I32" s="33"/>
      <c r="J32" s="33"/>
      <c r="K32" s="33"/>
      <c r="L32" s="33"/>
      <c r="M32" s="33"/>
      <c r="N32" s="33"/>
      <c r="O32" s="33"/>
      <c r="P32" s="33"/>
      <c r="Q32" s="33"/>
    </row>
    <row r="33" spans="2:17" x14ac:dyDescent="0.3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2:17" x14ac:dyDescent="0.3">
      <c r="B34" s="173" t="s">
        <v>72</v>
      </c>
      <c r="C34" s="174"/>
      <c r="D34" s="174"/>
      <c r="E34" s="174"/>
    </row>
    <row r="35" spans="2:17" x14ac:dyDescent="0.3">
      <c r="B35" s="174"/>
      <c r="C35" s="174"/>
      <c r="D35" s="174"/>
      <c r="E35" s="174"/>
    </row>
    <row r="36" spans="2:17" outlineLevel="1" x14ac:dyDescent="0.3">
      <c r="B36" s="4"/>
    </row>
    <row r="37" spans="2:17" outlineLevel="1" x14ac:dyDescent="0.3">
      <c r="B37" s="120" t="s">
        <v>51</v>
      </c>
      <c r="E37" s="11"/>
      <c r="H37" s="35"/>
      <c r="I37" s="35"/>
      <c r="J37" s="120" t="s">
        <v>97</v>
      </c>
      <c r="K37" s="35"/>
      <c r="L37" s="35"/>
      <c r="M37" s="35"/>
      <c r="N37" s="35"/>
      <c r="O37" s="35"/>
      <c r="P37" s="35"/>
      <c r="Q37" s="35"/>
    </row>
    <row r="38" spans="2:17" outlineLevel="1" x14ac:dyDescent="0.3">
      <c r="B38" s="19"/>
      <c r="C38" s="20"/>
      <c r="D38" s="21"/>
      <c r="E38" s="128">
        <v>2024</v>
      </c>
      <c r="F38" s="50">
        <v>2025</v>
      </c>
      <c r="H38" s="35"/>
      <c r="I38" s="35"/>
      <c r="J38" s="19"/>
      <c r="K38" s="20"/>
      <c r="L38" s="20"/>
      <c r="M38" s="21"/>
      <c r="N38" s="140">
        <v>2024</v>
      </c>
      <c r="O38" s="28">
        <v>2025</v>
      </c>
      <c r="P38" s="35"/>
      <c r="Q38" s="35"/>
    </row>
    <row r="39" spans="2:17" outlineLevel="1" x14ac:dyDescent="0.3">
      <c r="B39" s="52" t="s">
        <v>73</v>
      </c>
      <c r="D39" s="17"/>
      <c r="E39" s="63"/>
      <c r="F39" s="17"/>
      <c r="H39" s="35"/>
      <c r="I39" s="35"/>
      <c r="J39" s="22"/>
      <c r="M39" s="17"/>
      <c r="N39" s="61"/>
      <c r="O39" s="75"/>
      <c r="P39" s="35"/>
      <c r="Q39" s="35"/>
    </row>
    <row r="40" spans="2:17" outlineLevel="1" x14ac:dyDescent="0.3">
      <c r="B40" s="22"/>
      <c r="D40" s="17"/>
      <c r="E40" s="63"/>
      <c r="F40" s="17"/>
      <c r="H40" s="35"/>
      <c r="I40" s="35"/>
      <c r="J40" s="22" t="s">
        <v>94</v>
      </c>
      <c r="M40" s="17"/>
      <c r="N40" s="61">
        <f>SUM('LINE ITEMS'!R17:S17)</f>
        <v>2541303.9497534023</v>
      </c>
      <c r="O40" s="75">
        <f>SUM('LINE ITEMS'!Q68:S68)</f>
        <v>12567206.750367055</v>
      </c>
      <c r="P40" s="35"/>
      <c r="Q40" s="35"/>
    </row>
    <row r="41" spans="2:17" outlineLevel="1" x14ac:dyDescent="0.3">
      <c r="B41" s="22" t="s">
        <v>74</v>
      </c>
      <c r="D41" s="17"/>
      <c r="E41" s="126">
        <f>E81</f>
        <v>10111804.467200264</v>
      </c>
      <c r="F41" s="24">
        <f>F81</f>
        <v>15190084.901774239</v>
      </c>
      <c r="H41" s="35"/>
      <c r="I41" s="35"/>
      <c r="J41" s="22" t="s">
        <v>95</v>
      </c>
      <c r="K41" s="35"/>
      <c r="L41" s="35"/>
      <c r="M41" s="75"/>
      <c r="N41" s="61">
        <v>60</v>
      </c>
      <c r="O41" s="75">
        <v>60</v>
      </c>
      <c r="P41" s="35"/>
      <c r="Q41" s="35"/>
    </row>
    <row r="42" spans="2:17" outlineLevel="1" x14ac:dyDescent="0.3">
      <c r="B42" s="22" t="s">
        <v>78</v>
      </c>
      <c r="D42" s="17"/>
      <c r="E42" s="129">
        <f>N44</f>
        <v>1905977.9623150518</v>
      </c>
      <c r="F42" s="96">
        <f>O44</f>
        <v>9425405.0627752915</v>
      </c>
      <c r="H42" s="34"/>
      <c r="I42" s="34"/>
      <c r="J42" s="22" t="s">
        <v>82</v>
      </c>
      <c r="K42" s="35"/>
      <c r="L42" s="35"/>
      <c r="M42" s="75"/>
      <c r="N42" s="141">
        <v>45</v>
      </c>
      <c r="O42" s="94">
        <v>45</v>
      </c>
      <c r="P42" s="34"/>
      <c r="Q42" s="34"/>
    </row>
    <row r="43" spans="2:17" outlineLevel="1" x14ac:dyDescent="0.3">
      <c r="B43" s="51" t="s">
        <v>86</v>
      </c>
      <c r="C43" s="45"/>
      <c r="D43" s="46"/>
      <c r="E43" s="59">
        <f>E41+E42</f>
        <v>12017782.429515317</v>
      </c>
      <c r="F43" s="89">
        <f>F41+F42</f>
        <v>24615489.96454953</v>
      </c>
      <c r="H43" s="34"/>
      <c r="I43" s="34"/>
      <c r="J43" s="22"/>
      <c r="K43" s="35"/>
      <c r="L43" s="35"/>
      <c r="M43" s="75"/>
      <c r="N43" s="61"/>
      <c r="O43" s="38"/>
      <c r="P43" s="34"/>
      <c r="Q43" s="34"/>
    </row>
    <row r="44" spans="2:17" outlineLevel="1" x14ac:dyDescent="0.3">
      <c r="B44" s="22"/>
      <c r="D44" s="17"/>
      <c r="E44" s="60"/>
      <c r="F44" s="17"/>
      <c r="H44" s="34"/>
      <c r="I44" s="34"/>
      <c r="J44" s="27" t="s">
        <v>96</v>
      </c>
      <c r="K44" s="84"/>
      <c r="L44" s="84"/>
      <c r="M44" s="85"/>
      <c r="N44" s="130">
        <f>N40*(N42/N41)</f>
        <v>1905977.9623150518</v>
      </c>
      <c r="O44" s="29">
        <f>O40*(O42/O41)</f>
        <v>9425405.0627752915</v>
      </c>
      <c r="P44" s="34"/>
      <c r="Q44" s="34"/>
    </row>
    <row r="45" spans="2:17" outlineLevel="1" x14ac:dyDescent="0.3">
      <c r="B45" s="22" t="s">
        <v>84</v>
      </c>
      <c r="D45" s="17"/>
      <c r="E45" s="61">
        <f>'LINE ITEMS'!F55</f>
        <v>320000</v>
      </c>
      <c r="F45" s="75">
        <f>'LINE ITEMS'!F108</f>
        <v>560000</v>
      </c>
      <c r="H45" s="34"/>
      <c r="I45" s="34"/>
      <c r="J45" s="22"/>
      <c r="K45" s="34"/>
      <c r="L45" s="34"/>
      <c r="M45" s="38"/>
      <c r="N45" s="142"/>
      <c r="O45" s="38"/>
      <c r="P45" s="34"/>
      <c r="Q45" s="34"/>
    </row>
    <row r="46" spans="2:17" outlineLevel="1" x14ac:dyDescent="0.3">
      <c r="B46" s="51" t="s">
        <v>85</v>
      </c>
      <c r="C46" s="45"/>
      <c r="D46" s="46"/>
      <c r="E46" s="59">
        <f>E45</f>
        <v>320000</v>
      </c>
      <c r="F46" s="89">
        <f>F45</f>
        <v>560000</v>
      </c>
      <c r="H46" s="34"/>
      <c r="I46" s="34"/>
      <c r="J46" s="22"/>
      <c r="K46" s="34"/>
      <c r="L46" s="34"/>
      <c r="M46" s="38"/>
      <c r="N46" s="142"/>
      <c r="O46" s="38"/>
      <c r="P46" s="34"/>
      <c r="Q46" s="34"/>
    </row>
    <row r="47" spans="2:17" outlineLevel="1" x14ac:dyDescent="0.3">
      <c r="B47" s="52"/>
      <c r="D47" s="17"/>
      <c r="E47" s="61"/>
      <c r="F47" s="75"/>
      <c r="H47" s="34"/>
      <c r="I47" s="34"/>
      <c r="J47" s="22" t="s">
        <v>98</v>
      </c>
      <c r="K47" s="34"/>
      <c r="L47" s="34"/>
      <c r="M47" s="38"/>
      <c r="N47" s="129">
        <f>SUM('LINE ITEMS'!Q24:S24)</f>
        <v>1584985.4057280514</v>
      </c>
      <c r="O47" s="24">
        <f>SUM('LINE ITEMS'!Q75:S75)</f>
        <v>5238039.5996763827</v>
      </c>
      <c r="P47" s="34"/>
      <c r="Q47" s="34"/>
    </row>
    <row r="48" spans="2:17" outlineLevel="1" x14ac:dyDescent="0.3">
      <c r="B48" s="27" t="s">
        <v>79</v>
      </c>
      <c r="C48" s="18"/>
      <c r="D48" s="28"/>
      <c r="E48" s="130">
        <f>E43+E46</f>
        <v>12337782.429515317</v>
      </c>
      <c r="F48" s="90">
        <f>F43+F46</f>
        <v>25175489.96454953</v>
      </c>
      <c r="J48" s="22" t="s">
        <v>101</v>
      </c>
      <c r="M48" s="38"/>
      <c r="N48" s="129">
        <f>SUM('LINE ITEMS'!Q23:S23)</f>
        <v>135000</v>
      </c>
      <c r="O48" s="95">
        <f>SUM('LINE ITEMS'!Q74:S74)</f>
        <v>381600</v>
      </c>
    </row>
    <row r="49" spans="2:17" outlineLevel="1" x14ac:dyDescent="0.3">
      <c r="B49" s="52"/>
      <c r="D49" s="17"/>
      <c r="E49" s="60"/>
      <c r="F49" s="17"/>
      <c r="J49" s="51" t="s">
        <v>102</v>
      </c>
      <c r="K49" s="45"/>
      <c r="L49" s="45"/>
      <c r="M49" s="93"/>
      <c r="N49" s="62">
        <f>N47-N48</f>
        <v>1449985.4057280514</v>
      </c>
      <c r="O49" s="89">
        <f>O47-O48</f>
        <v>4856439.5996763827</v>
      </c>
    </row>
    <row r="50" spans="2:17" outlineLevel="1" x14ac:dyDescent="0.3">
      <c r="B50" s="52" t="s">
        <v>75</v>
      </c>
      <c r="D50" s="39"/>
      <c r="E50" s="131"/>
      <c r="F50" s="39"/>
      <c r="G50" s="3"/>
      <c r="H50" s="3"/>
      <c r="I50" s="3"/>
      <c r="J50" s="22"/>
      <c r="M50" s="17"/>
      <c r="N50" s="60"/>
      <c r="O50" s="17"/>
    </row>
    <row r="51" spans="2:17" outlineLevel="1" x14ac:dyDescent="0.3">
      <c r="B51" s="22"/>
      <c r="D51" s="39"/>
      <c r="E51" s="63"/>
      <c r="F51" s="39"/>
      <c r="G51" s="3"/>
      <c r="H51" s="35"/>
      <c r="I51" s="35"/>
      <c r="J51" s="22" t="s">
        <v>99</v>
      </c>
      <c r="K51" s="34"/>
      <c r="L51" s="34"/>
      <c r="M51" s="38"/>
      <c r="N51" s="129">
        <v>90</v>
      </c>
      <c r="O51" s="75">
        <v>90</v>
      </c>
      <c r="P51" s="35"/>
      <c r="Q51" s="35"/>
    </row>
    <row r="52" spans="2:17" outlineLevel="1" x14ac:dyDescent="0.3">
      <c r="B52" s="22" t="s">
        <v>88</v>
      </c>
      <c r="D52" s="39"/>
      <c r="E52" s="126">
        <f>N54</f>
        <v>982767.88610456826</v>
      </c>
      <c r="F52" s="97">
        <f>O54</f>
        <v>3291586.8397806594</v>
      </c>
      <c r="G52" s="3"/>
      <c r="H52" s="35"/>
      <c r="I52" s="35"/>
      <c r="J52" s="22" t="s">
        <v>83</v>
      </c>
      <c r="K52" s="34"/>
      <c r="L52" s="34"/>
      <c r="M52" s="17"/>
      <c r="N52" s="143">
        <v>61</v>
      </c>
      <c r="O52" s="75">
        <v>61</v>
      </c>
      <c r="P52" s="35"/>
      <c r="Q52" s="35"/>
    </row>
    <row r="53" spans="2:17" outlineLevel="1" x14ac:dyDescent="0.3">
      <c r="B53" s="51" t="s">
        <v>89</v>
      </c>
      <c r="C53" s="45"/>
      <c r="D53" s="87"/>
      <c r="E53" s="132">
        <f>E52</f>
        <v>982767.88610456826</v>
      </c>
      <c r="F53" s="88">
        <f>F52</f>
        <v>3291586.8397806594</v>
      </c>
      <c r="G53" s="3"/>
      <c r="H53" s="35"/>
      <c r="I53" s="35"/>
      <c r="J53" s="22"/>
      <c r="K53" s="34"/>
      <c r="L53" s="34"/>
      <c r="M53" s="17"/>
      <c r="N53" s="60"/>
      <c r="O53" s="75"/>
      <c r="P53" s="35"/>
      <c r="Q53" s="35"/>
    </row>
    <row r="54" spans="2:17" outlineLevel="1" x14ac:dyDescent="0.3">
      <c r="B54" s="22"/>
      <c r="D54" s="39"/>
      <c r="E54" s="63"/>
      <c r="F54" s="39"/>
      <c r="G54" s="3"/>
      <c r="H54" s="35"/>
      <c r="I54" s="35"/>
      <c r="J54" s="27" t="s">
        <v>100</v>
      </c>
      <c r="K54" s="92"/>
      <c r="L54" s="18"/>
      <c r="M54" s="86"/>
      <c r="N54" s="130">
        <f>N49*(N52/N51)</f>
        <v>982767.88610456826</v>
      </c>
      <c r="O54" s="90">
        <f>O49*(O52/O51)</f>
        <v>3291586.8397806594</v>
      </c>
      <c r="P54" s="35"/>
      <c r="Q54" s="35"/>
    </row>
    <row r="55" spans="2:17" outlineLevel="1" x14ac:dyDescent="0.3">
      <c r="B55" s="22" t="s">
        <v>76</v>
      </c>
      <c r="D55" s="17"/>
      <c r="E55" s="133">
        <v>10000000</v>
      </c>
      <c r="F55" s="83">
        <v>10000000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</row>
    <row r="56" spans="2:17" outlineLevel="1" x14ac:dyDescent="0.3">
      <c r="B56" s="22" t="s">
        <v>77</v>
      </c>
      <c r="D56" s="17"/>
      <c r="E56" s="133">
        <f>E28</f>
        <v>1355014.5434107482</v>
      </c>
      <c r="F56" s="83">
        <f>E56+F28</f>
        <v>11883903.124768872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</row>
    <row r="57" spans="2:17" outlineLevel="1" x14ac:dyDescent="0.3">
      <c r="B57" s="51" t="s">
        <v>87</v>
      </c>
      <c r="C57" s="45"/>
      <c r="D57" s="46"/>
      <c r="E57" s="132">
        <f>E55+E56</f>
        <v>11355014.543410748</v>
      </c>
      <c r="F57" s="88">
        <f>F55+F56</f>
        <v>21883903.124768872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</row>
    <row r="58" spans="2:17" outlineLevel="1" x14ac:dyDescent="0.3">
      <c r="B58" s="22"/>
      <c r="D58" s="17"/>
      <c r="E58" s="133"/>
      <c r="F58" s="83"/>
      <c r="H58" s="35"/>
      <c r="I58" s="35"/>
      <c r="J58" s="35"/>
      <c r="K58" s="35"/>
      <c r="L58" s="35"/>
      <c r="M58" s="35"/>
      <c r="N58" s="35"/>
      <c r="O58" s="35"/>
      <c r="P58" s="35"/>
      <c r="Q58" s="35"/>
    </row>
    <row r="59" spans="2:17" outlineLevel="1" x14ac:dyDescent="0.3">
      <c r="B59" s="27" t="s">
        <v>80</v>
      </c>
      <c r="C59" s="18"/>
      <c r="D59" s="86"/>
      <c r="E59" s="66">
        <f>E53+E57</f>
        <v>12337782.429515317</v>
      </c>
      <c r="F59" s="91">
        <f>F53+F57</f>
        <v>25175489.96454953</v>
      </c>
      <c r="G59" s="3"/>
      <c r="H59" s="35"/>
      <c r="I59" s="35"/>
      <c r="J59" s="35"/>
      <c r="K59" s="35"/>
      <c r="L59" s="35"/>
      <c r="M59" s="35"/>
      <c r="N59" s="35"/>
      <c r="O59" s="35"/>
      <c r="P59" s="35"/>
      <c r="Q59" s="35"/>
    </row>
    <row r="60" spans="2:17" outlineLevel="1" x14ac:dyDescent="0.3">
      <c r="B60" s="22"/>
      <c r="D60" s="17"/>
      <c r="E60" s="63"/>
      <c r="F60" s="17"/>
      <c r="H60" s="35"/>
      <c r="I60" s="35"/>
      <c r="J60" s="35"/>
      <c r="K60" s="35"/>
      <c r="L60" s="35"/>
      <c r="M60" s="35"/>
      <c r="N60" s="35"/>
      <c r="O60" s="35"/>
      <c r="P60" s="35"/>
      <c r="Q60" s="35"/>
    </row>
    <row r="61" spans="2:17" outlineLevel="1" x14ac:dyDescent="0.3">
      <c r="B61" s="121" t="s">
        <v>81</v>
      </c>
      <c r="C61" s="122"/>
      <c r="D61" s="123"/>
      <c r="E61" s="134">
        <f>E48-E59</f>
        <v>0</v>
      </c>
      <c r="F61" s="124">
        <f>F48-F59</f>
        <v>0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</row>
    <row r="62" spans="2:17" x14ac:dyDescent="0.3">
      <c r="B62" s="4"/>
      <c r="H62" s="36"/>
      <c r="I62" s="36"/>
      <c r="J62" s="36"/>
      <c r="K62" s="36"/>
      <c r="L62" s="36"/>
      <c r="M62" s="36"/>
      <c r="N62" s="36"/>
      <c r="O62" s="36"/>
      <c r="P62" s="36"/>
      <c r="Q62" s="36"/>
    </row>
    <row r="64" spans="2:17" x14ac:dyDescent="0.3">
      <c r="B64" s="173" t="s">
        <v>93</v>
      </c>
      <c r="C64" s="174"/>
      <c r="D64" s="174"/>
      <c r="E64" s="174"/>
      <c r="H64" s="34"/>
      <c r="I64" s="34"/>
      <c r="J64" s="34"/>
      <c r="K64" s="34"/>
      <c r="L64" s="34"/>
      <c r="M64" s="34"/>
      <c r="N64" s="34"/>
      <c r="O64" s="34"/>
      <c r="P64" s="34"/>
      <c r="Q64" s="34"/>
    </row>
    <row r="65" spans="2:15" x14ac:dyDescent="0.3">
      <c r="B65" s="174"/>
      <c r="C65" s="174"/>
      <c r="D65" s="174"/>
      <c r="E65" s="174"/>
    </row>
    <row r="66" spans="2:15" outlineLevel="1" x14ac:dyDescent="0.3">
      <c r="B66" s="4"/>
      <c r="D66" s="34"/>
    </row>
    <row r="67" spans="2:15" outlineLevel="1" x14ac:dyDescent="0.3">
      <c r="B67" s="120" t="s">
        <v>51</v>
      </c>
      <c r="J67" s="120" t="s">
        <v>51</v>
      </c>
    </row>
    <row r="68" spans="2:15" outlineLevel="1" x14ac:dyDescent="0.3">
      <c r="B68" s="26"/>
      <c r="C68" s="20"/>
      <c r="D68" s="21"/>
      <c r="E68" s="56">
        <v>2024</v>
      </c>
      <c r="F68" s="50">
        <v>2025</v>
      </c>
      <c r="H68" s="35"/>
      <c r="J68" s="19"/>
      <c r="K68" s="20"/>
      <c r="L68" s="20"/>
      <c r="M68" s="21"/>
      <c r="N68" s="56">
        <v>2024</v>
      </c>
      <c r="O68" s="50">
        <v>2025</v>
      </c>
    </row>
    <row r="69" spans="2:15" outlineLevel="1" x14ac:dyDescent="0.3">
      <c r="B69" s="52" t="s">
        <v>103</v>
      </c>
      <c r="D69" s="17"/>
      <c r="E69" s="60"/>
      <c r="F69" s="110"/>
      <c r="J69" s="22"/>
      <c r="M69" s="17"/>
      <c r="N69" s="60"/>
      <c r="O69" s="17"/>
    </row>
    <row r="70" spans="2:15" outlineLevel="1" x14ac:dyDescent="0.3">
      <c r="B70" s="22"/>
      <c r="D70" s="17"/>
      <c r="E70" s="60"/>
      <c r="F70" s="23"/>
      <c r="J70" s="22" t="s">
        <v>96</v>
      </c>
      <c r="K70" s="35"/>
      <c r="L70" s="35"/>
      <c r="M70" s="75"/>
      <c r="N70" s="57">
        <f>N44</f>
        <v>1905977.9623150518</v>
      </c>
      <c r="O70" s="102">
        <f>O44</f>
        <v>9425405.0627752915</v>
      </c>
    </row>
    <row r="71" spans="2:15" outlineLevel="1" x14ac:dyDescent="0.3">
      <c r="B71" s="22" t="s">
        <v>58</v>
      </c>
      <c r="D71" s="17"/>
      <c r="E71" s="129">
        <f>E23*(1-30%)</f>
        <v>1355014.5434107482</v>
      </c>
      <c r="F71" s="24">
        <f>F23*(1-30%)</f>
        <v>10528888.581358122</v>
      </c>
      <c r="J71" s="22" t="s">
        <v>100</v>
      </c>
      <c r="M71" s="17"/>
      <c r="N71" s="129">
        <f>N54</f>
        <v>982767.88610456826</v>
      </c>
      <c r="O71" s="24">
        <f>O54</f>
        <v>3291586.8397806594</v>
      </c>
    </row>
    <row r="72" spans="2:15" outlineLevel="1" x14ac:dyDescent="0.3">
      <c r="B72" s="22" t="s">
        <v>104</v>
      </c>
      <c r="D72" s="17"/>
      <c r="E72" s="129">
        <f>E22</f>
        <v>80000</v>
      </c>
      <c r="F72" s="24">
        <f>F22</f>
        <v>160000</v>
      </c>
      <c r="J72" s="22"/>
      <c r="M72" s="17"/>
      <c r="N72" s="60"/>
      <c r="O72" s="17"/>
    </row>
    <row r="73" spans="2:15" outlineLevel="1" x14ac:dyDescent="0.3">
      <c r="B73" s="22" t="s">
        <v>109</v>
      </c>
      <c r="D73" s="17"/>
      <c r="E73" s="129">
        <f>N75</f>
        <v>923210.07621048356</v>
      </c>
      <c r="F73" s="24">
        <f>O75</f>
        <v>5210608.1467841482</v>
      </c>
      <c r="J73" s="106" t="s">
        <v>108</v>
      </c>
      <c r="K73" s="107"/>
      <c r="L73" s="107"/>
      <c r="M73" s="108"/>
      <c r="N73" s="135">
        <f>N70-N71</f>
        <v>923210.07621048356</v>
      </c>
      <c r="O73" s="109">
        <f>O70-O71</f>
        <v>6133818.2229946321</v>
      </c>
    </row>
    <row r="74" spans="2:15" outlineLevel="1" x14ac:dyDescent="0.3">
      <c r="B74" s="106" t="s">
        <v>103</v>
      </c>
      <c r="C74" s="107"/>
      <c r="D74" s="108"/>
      <c r="E74" s="135">
        <f>SUM(E71:E72) - E73</f>
        <v>511804.46720026468</v>
      </c>
      <c r="F74" s="109">
        <f>SUM(F71:F72) - F73</f>
        <v>5478280.4345739735</v>
      </c>
      <c r="J74" s="52"/>
      <c r="K74" s="4"/>
      <c r="L74" s="4"/>
      <c r="M74" s="103"/>
      <c r="N74" s="137"/>
      <c r="O74" s="103"/>
    </row>
    <row r="75" spans="2:15" outlineLevel="1" x14ac:dyDescent="0.3">
      <c r="B75" s="22"/>
      <c r="D75" s="17"/>
      <c r="E75" s="60"/>
      <c r="F75" s="17"/>
      <c r="J75" s="27" t="s">
        <v>109</v>
      </c>
      <c r="K75" s="49"/>
      <c r="L75" s="49"/>
      <c r="M75" s="50"/>
      <c r="N75" s="139">
        <f>N73</f>
        <v>923210.07621048356</v>
      </c>
      <c r="O75" s="29">
        <f>O73-N73</f>
        <v>5210608.1467841482</v>
      </c>
    </row>
    <row r="76" spans="2:15" ht="14.4" customHeight="1" outlineLevel="1" x14ac:dyDescent="0.3">
      <c r="B76" s="113" t="s">
        <v>105</v>
      </c>
      <c r="C76" s="114"/>
      <c r="D76" s="115"/>
      <c r="E76" s="136">
        <v>-400000</v>
      </c>
      <c r="F76" s="116">
        <v>-400000</v>
      </c>
    </row>
    <row r="77" spans="2:15" ht="14.4" customHeight="1" outlineLevel="1" x14ac:dyDescent="0.3">
      <c r="B77" s="111"/>
      <c r="D77" s="17"/>
      <c r="E77" s="137"/>
      <c r="F77" s="103"/>
    </row>
    <row r="78" spans="2:15" outlineLevel="1" x14ac:dyDescent="0.3">
      <c r="B78" s="22"/>
      <c r="D78" s="17"/>
      <c r="E78" s="137"/>
      <c r="F78" s="103"/>
    </row>
    <row r="79" spans="2:15" outlineLevel="1" x14ac:dyDescent="0.3">
      <c r="B79" s="106" t="s">
        <v>106</v>
      </c>
      <c r="C79" s="114"/>
      <c r="D79" s="115"/>
      <c r="E79" s="138">
        <v>10000000</v>
      </c>
      <c r="F79" s="109">
        <v>0</v>
      </c>
    </row>
    <row r="80" spans="2:15" outlineLevel="1" x14ac:dyDescent="0.3">
      <c r="B80" s="52"/>
      <c r="D80" s="17"/>
      <c r="E80" s="60"/>
      <c r="F80" s="24"/>
    </row>
    <row r="81" spans="2:6" outlineLevel="1" x14ac:dyDescent="0.3">
      <c r="B81" s="27" t="s">
        <v>107</v>
      </c>
      <c r="C81" s="18"/>
      <c r="D81" s="28"/>
      <c r="E81" s="139">
        <f>SUM(E74:E79)</f>
        <v>10111804.467200264</v>
      </c>
      <c r="F81" s="29">
        <f>E81 + (SUM(F74:F76))</f>
        <v>15190084.901774239</v>
      </c>
    </row>
    <row r="82" spans="2:6" outlineLevel="1" x14ac:dyDescent="0.3"/>
  </sheetData>
  <mergeCells count="5">
    <mergeCell ref="B2:H3"/>
    <mergeCell ref="B5:E6"/>
    <mergeCell ref="B34:E35"/>
    <mergeCell ref="B64:E65"/>
    <mergeCell ref="L2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F082-5A10-4A9D-A5E6-061231C09F88}">
  <sheetPr>
    <outlinePr summaryBelow="0"/>
  </sheetPr>
  <dimension ref="B1:S109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30" sqref="H30"/>
    </sheetView>
  </sheetViews>
  <sheetFormatPr defaultRowHeight="14.4" outlineLevelRow="2" x14ac:dyDescent="0.3"/>
  <cols>
    <col min="1" max="1" width="1.77734375" customWidth="1"/>
    <col min="2" max="2" width="9.77734375" bestFit="1" customWidth="1"/>
    <col min="4" max="4" width="12.33203125" bestFit="1" customWidth="1"/>
    <col min="6" max="6" width="11.33203125" bestFit="1" customWidth="1"/>
    <col min="8" max="19" width="9.77734375" customWidth="1"/>
  </cols>
  <sheetData>
    <row r="1" spans="2:19" ht="7.5" customHeight="1" x14ac:dyDescent="0.3"/>
    <row r="2" spans="2:19" ht="14.4" customHeight="1" x14ac:dyDescent="0.3">
      <c r="B2" s="172" t="s">
        <v>0</v>
      </c>
      <c r="C2" s="172"/>
      <c r="D2" s="172"/>
      <c r="E2" s="172"/>
      <c r="F2" s="172"/>
      <c r="G2" s="172"/>
      <c r="H2" s="172"/>
      <c r="I2" s="1"/>
      <c r="J2" s="1"/>
      <c r="K2" s="1"/>
      <c r="L2" s="1"/>
      <c r="M2" s="1"/>
      <c r="N2" s="178"/>
      <c r="O2" s="1"/>
      <c r="P2" s="175" t="s">
        <v>111</v>
      </c>
      <c r="Q2" s="175"/>
      <c r="R2" s="175"/>
      <c r="S2" s="175"/>
    </row>
    <row r="3" spans="2:19" x14ac:dyDescent="0.3">
      <c r="B3" s="172"/>
      <c r="C3" s="172"/>
      <c r="D3" s="172"/>
      <c r="E3" s="172"/>
      <c r="F3" s="172"/>
      <c r="G3" s="172"/>
      <c r="H3" s="172"/>
      <c r="I3" s="1"/>
      <c r="J3" s="1"/>
      <c r="K3" s="1"/>
      <c r="L3" s="1"/>
      <c r="M3" s="1"/>
      <c r="N3" s="178"/>
      <c r="O3" s="1"/>
      <c r="P3" s="175"/>
      <c r="Q3" s="175"/>
      <c r="R3" s="175"/>
      <c r="S3" s="175"/>
    </row>
    <row r="5" spans="2:19" x14ac:dyDescent="0.3">
      <c r="B5" s="119" t="s">
        <v>110</v>
      </c>
    </row>
    <row r="7" spans="2:19" x14ac:dyDescent="0.3">
      <c r="B7" s="176" t="s">
        <v>15</v>
      </c>
    </row>
    <row r="8" spans="2:19" x14ac:dyDescent="0.3">
      <c r="B8" s="177"/>
      <c r="H8" s="2">
        <v>45017</v>
      </c>
      <c r="I8" s="2">
        <v>45047</v>
      </c>
      <c r="J8" s="2">
        <v>45078</v>
      </c>
      <c r="K8" s="2">
        <v>45108</v>
      </c>
      <c r="L8" s="2">
        <v>45139</v>
      </c>
      <c r="M8" s="2">
        <v>45170</v>
      </c>
      <c r="N8" s="2">
        <v>45200</v>
      </c>
      <c r="O8" s="2">
        <v>45231</v>
      </c>
      <c r="P8" s="2">
        <v>45261</v>
      </c>
      <c r="Q8" s="2">
        <v>45292</v>
      </c>
      <c r="R8" s="2">
        <v>45323</v>
      </c>
      <c r="S8" s="2">
        <v>45352</v>
      </c>
    </row>
    <row r="9" spans="2:19" outlineLevel="1" x14ac:dyDescent="0.3"/>
    <row r="10" spans="2:19" outlineLevel="1" x14ac:dyDescent="0.3">
      <c r="B10" s="4" t="s">
        <v>120</v>
      </c>
      <c r="E10" s="5" t="s">
        <v>113</v>
      </c>
      <c r="H10" s="32">
        <v>100</v>
      </c>
      <c r="I10" s="33">
        <f>H10+I11</f>
        <v>210</v>
      </c>
      <c r="J10" s="33">
        <f t="shared" ref="J10:S10" si="0">I10+J11</f>
        <v>331</v>
      </c>
      <c r="K10" s="33">
        <f t="shared" si="0"/>
        <v>464.1</v>
      </c>
      <c r="L10" s="33">
        <f t="shared" si="0"/>
        <v>610.5100000000001</v>
      </c>
      <c r="M10" s="33">
        <f t="shared" si="0"/>
        <v>771.56100000000015</v>
      </c>
      <c r="N10" s="33">
        <f t="shared" si="0"/>
        <v>948.7171000000003</v>
      </c>
      <c r="O10" s="33">
        <f t="shared" si="0"/>
        <v>1143.5888100000004</v>
      </c>
      <c r="P10" s="33">
        <f t="shared" si="0"/>
        <v>1357.9476910000005</v>
      </c>
      <c r="Q10" s="33">
        <f t="shared" si="0"/>
        <v>1593.7424601000007</v>
      </c>
      <c r="R10" s="33">
        <f t="shared" si="0"/>
        <v>1853.1167061100009</v>
      </c>
      <c r="S10" s="33">
        <f t="shared" si="0"/>
        <v>2138.4283767210013</v>
      </c>
    </row>
    <row r="11" spans="2:19" outlineLevel="1" x14ac:dyDescent="0.3">
      <c r="B11" s="4" t="s">
        <v>19</v>
      </c>
      <c r="E11" s="5" t="s">
        <v>18</v>
      </c>
      <c r="H11" s="32">
        <v>100</v>
      </c>
      <c r="I11" s="33">
        <f>H11*1.1</f>
        <v>110.00000000000001</v>
      </c>
      <c r="J11" s="33">
        <f t="shared" ref="J11:S11" si="1">I11*1.1</f>
        <v>121.00000000000003</v>
      </c>
      <c r="K11" s="33">
        <f t="shared" si="1"/>
        <v>133.10000000000005</v>
      </c>
      <c r="L11" s="33">
        <f t="shared" si="1"/>
        <v>146.41000000000008</v>
      </c>
      <c r="M11" s="33">
        <f t="shared" si="1"/>
        <v>161.0510000000001</v>
      </c>
      <c r="N11" s="33">
        <f t="shared" si="1"/>
        <v>177.15610000000012</v>
      </c>
      <c r="O11" s="33">
        <f t="shared" si="1"/>
        <v>194.87171000000015</v>
      </c>
      <c r="P11" s="33">
        <f t="shared" si="1"/>
        <v>214.3588810000002</v>
      </c>
      <c r="Q11" s="33">
        <f t="shared" si="1"/>
        <v>235.79476910000022</v>
      </c>
      <c r="R11" s="33">
        <f t="shared" si="1"/>
        <v>259.37424601000026</v>
      </c>
      <c r="S11" s="33">
        <f t="shared" si="1"/>
        <v>285.3116706110003</v>
      </c>
    </row>
    <row r="12" spans="2:19" outlineLevel="1" x14ac:dyDescent="0.3"/>
    <row r="13" spans="2:19" outlineLevel="1" x14ac:dyDescent="0.3">
      <c r="B13" s="4" t="s">
        <v>16</v>
      </c>
      <c r="D13" s="117">
        <f>SUM(H17:S17)</f>
        <v>9147513.234293405</v>
      </c>
    </row>
    <row r="14" spans="2:19" outlineLevel="1" x14ac:dyDescent="0.3">
      <c r="B14" s="12"/>
    </row>
    <row r="15" spans="2:19" outlineLevel="1" x14ac:dyDescent="0.3">
      <c r="B15" t="s">
        <v>20</v>
      </c>
      <c r="E15" s="11" t="s">
        <v>21</v>
      </c>
      <c r="F15" s="3"/>
      <c r="G15" s="3"/>
      <c r="H15" s="6">
        <f>H11*3200</f>
        <v>320000</v>
      </c>
      <c r="I15" s="6">
        <f t="shared" ref="I15:S15" si="2">I11*3200</f>
        <v>352000.00000000006</v>
      </c>
      <c r="J15" s="6">
        <f t="shared" si="2"/>
        <v>387200.00000000012</v>
      </c>
      <c r="K15" s="6">
        <f t="shared" si="2"/>
        <v>425920.00000000017</v>
      </c>
      <c r="L15" s="6">
        <f t="shared" si="2"/>
        <v>468512.00000000023</v>
      </c>
      <c r="M15" s="6">
        <f t="shared" si="2"/>
        <v>515363.2000000003</v>
      </c>
      <c r="N15" s="6">
        <f t="shared" si="2"/>
        <v>566899.52000000037</v>
      </c>
      <c r="O15" s="6">
        <f t="shared" si="2"/>
        <v>623589.47200000053</v>
      </c>
      <c r="P15" s="6">
        <f t="shared" si="2"/>
        <v>685948.41920000059</v>
      </c>
      <c r="Q15" s="6">
        <f t="shared" si="2"/>
        <v>754543.26112000074</v>
      </c>
      <c r="R15" s="6">
        <f t="shared" si="2"/>
        <v>829997.58723200089</v>
      </c>
      <c r="S15" s="6">
        <f t="shared" si="2"/>
        <v>912997.34595520096</v>
      </c>
    </row>
    <row r="16" spans="2:19" outlineLevel="1" x14ac:dyDescent="0.3">
      <c r="B16" t="s">
        <v>22</v>
      </c>
      <c r="E16" s="11" t="s">
        <v>23</v>
      </c>
      <c r="F16" s="3"/>
      <c r="G16" s="3"/>
      <c r="H16" s="6">
        <f>H10*200</f>
        <v>20000</v>
      </c>
      <c r="I16" s="6">
        <f t="shared" ref="I16:S16" si="3">I10*200</f>
        <v>42000</v>
      </c>
      <c r="J16" s="6">
        <f t="shared" si="3"/>
        <v>66200</v>
      </c>
      <c r="K16" s="6">
        <f t="shared" si="3"/>
        <v>92820</v>
      </c>
      <c r="L16" s="6">
        <f t="shared" si="3"/>
        <v>122102.00000000001</v>
      </c>
      <c r="M16" s="6">
        <f t="shared" si="3"/>
        <v>154312.20000000004</v>
      </c>
      <c r="N16" s="6">
        <f t="shared" si="3"/>
        <v>189743.42000000007</v>
      </c>
      <c r="O16" s="6">
        <f t="shared" si="3"/>
        <v>228717.76200000008</v>
      </c>
      <c r="P16" s="6">
        <f t="shared" si="3"/>
        <v>271589.53820000013</v>
      </c>
      <c r="Q16" s="6">
        <f t="shared" si="3"/>
        <v>318748.49202000012</v>
      </c>
      <c r="R16" s="6">
        <f t="shared" si="3"/>
        <v>370623.34122200019</v>
      </c>
      <c r="S16" s="6">
        <f t="shared" si="3"/>
        <v>427685.67534420028</v>
      </c>
    </row>
    <row r="17" spans="2:19" outlineLevel="1" x14ac:dyDescent="0.3">
      <c r="B17" s="13" t="s">
        <v>24</v>
      </c>
      <c r="C17" s="7"/>
      <c r="D17" s="7"/>
      <c r="E17" s="8"/>
      <c r="F17" s="8"/>
      <c r="G17" s="8"/>
      <c r="H17" s="31">
        <f>H15+H16</f>
        <v>340000</v>
      </c>
      <c r="I17" s="31">
        <f t="shared" ref="I17:S17" si="4">I15+I16</f>
        <v>394000.00000000006</v>
      </c>
      <c r="J17" s="31">
        <f t="shared" si="4"/>
        <v>453400.00000000012</v>
      </c>
      <c r="K17" s="31">
        <f t="shared" si="4"/>
        <v>518740.00000000017</v>
      </c>
      <c r="L17" s="31">
        <f t="shared" si="4"/>
        <v>590614.00000000023</v>
      </c>
      <c r="M17" s="31">
        <f t="shared" si="4"/>
        <v>669675.40000000037</v>
      </c>
      <c r="N17" s="31">
        <f t="shared" si="4"/>
        <v>756642.94000000041</v>
      </c>
      <c r="O17" s="31">
        <f t="shared" si="4"/>
        <v>852307.23400000064</v>
      </c>
      <c r="P17" s="31">
        <f t="shared" si="4"/>
        <v>957537.95740000065</v>
      </c>
      <c r="Q17" s="31">
        <f t="shared" si="4"/>
        <v>1073291.7531400009</v>
      </c>
      <c r="R17" s="31">
        <f t="shared" si="4"/>
        <v>1200620.928454001</v>
      </c>
      <c r="S17" s="31">
        <f t="shared" si="4"/>
        <v>1340683.0212994013</v>
      </c>
    </row>
    <row r="18" spans="2:19" outlineLevel="1" x14ac:dyDescent="0.3"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spans="2:19" outlineLevel="1" x14ac:dyDescent="0.3">
      <c r="B19" s="4" t="s">
        <v>1</v>
      </c>
      <c r="D19" s="118">
        <f>SUM(H24:S24)</f>
        <v>4323778.1722780522</v>
      </c>
      <c r="Q19" s="12"/>
      <c r="R19" s="12"/>
    </row>
    <row r="20" spans="2:19" outlineLevel="1" x14ac:dyDescent="0.3"/>
    <row r="21" spans="2:19" outlineLevel="1" x14ac:dyDescent="0.3">
      <c r="B21" t="s">
        <v>2</v>
      </c>
      <c r="E21" s="11" t="s">
        <v>27</v>
      </c>
      <c r="H21" s="6">
        <f>H11*1500</f>
        <v>150000</v>
      </c>
      <c r="I21" s="6">
        <f t="shared" ref="I21:S21" si="5">I11*1500</f>
        <v>165000.00000000003</v>
      </c>
      <c r="J21" s="6">
        <f t="shared" si="5"/>
        <v>181500.00000000003</v>
      </c>
      <c r="K21" s="6">
        <f t="shared" si="5"/>
        <v>199650.00000000009</v>
      </c>
      <c r="L21" s="6">
        <f t="shared" si="5"/>
        <v>219615.00000000012</v>
      </c>
      <c r="M21" s="6">
        <f t="shared" si="5"/>
        <v>241576.50000000015</v>
      </c>
      <c r="N21" s="6">
        <f t="shared" si="5"/>
        <v>265734.1500000002</v>
      </c>
      <c r="O21" s="6">
        <f t="shared" si="5"/>
        <v>292307.56500000024</v>
      </c>
      <c r="P21" s="6">
        <f t="shared" si="5"/>
        <v>321538.32150000031</v>
      </c>
      <c r="Q21" s="6">
        <f t="shared" si="5"/>
        <v>353692.15365000034</v>
      </c>
      <c r="R21" s="6">
        <f t="shared" si="5"/>
        <v>389061.36901500041</v>
      </c>
      <c r="S21" s="6">
        <f t="shared" si="5"/>
        <v>427967.50591650046</v>
      </c>
    </row>
    <row r="22" spans="2:19" outlineLevel="1" x14ac:dyDescent="0.3">
      <c r="B22" t="s">
        <v>25</v>
      </c>
      <c r="E22" s="11" t="s">
        <v>28</v>
      </c>
      <c r="H22" s="6">
        <f>50*H10</f>
        <v>5000</v>
      </c>
      <c r="I22" s="6">
        <f t="shared" ref="I22:S22" si="6">50*I10</f>
        <v>10500</v>
      </c>
      <c r="J22" s="6">
        <f t="shared" si="6"/>
        <v>16550</v>
      </c>
      <c r="K22" s="6">
        <f t="shared" si="6"/>
        <v>23205</v>
      </c>
      <c r="L22" s="6">
        <f t="shared" si="6"/>
        <v>30525.500000000004</v>
      </c>
      <c r="M22" s="6">
        <f t="shared" si="6"/>
        <v>38578.05000000001</v>
      </c>
      <c r="N22" s="6">
        <f t="shared" si="6"/>
        <v>47435.855000000018</v>
      </c>
      <c r="O22" s="6">
        <f t="shared" si="6"/>
        <v>57179.440500000019</v>
      </c>
      <c r="P22" s="6">
        <f t="shared" si="6"/>
        <v>67897.384550000032</v>
      </c>
      <c r="Q22" s="6">
        <f t="shared" si="6"/>
        <v>79687.12300500003</v>
      </c>
      <c r="R22" s="6">
        <f t="shared" si="6"/>
        <v>92655.835305500048</v>
      </c>
      <c r="S22" s="6">
        <f t="shared" si="6"/>
        <v>106921.41883605007</v>
      </c>
    </row>
    <row r="23" spans="2:19" outlineLevel="1" x14ac:dyDescent="0.3">
      <c r="B23" t="s">
        <v>26</v>
      </c>
      <c r="E23" s="11" t="s">
        <v>29</v>
      </c>
      <c r="H23" s="6">
        <f>3*15000</f>
        <v>45000</v>
      </c>
      <c r="I23" s="6">
        <f t="shared" ref="I23:S23" si="7">3*15000</f>
        <v>45000</v>
      </c>
      <c r="J23" s="6">
        <f t="shared" si="7"/>
        <v>45000</v>
      </c>
      <c r="K23" s="6">
        <f t="shared" si="7"/>
        <v>45000</v>
      </c>
      <c r="L23" s="6">
        <f t="shared" si="7"/>
        <v>45000</v>
      </c>
      <c r="M23" s="6">
        <f t="shared" si="7"/>
        <v>45000</v>
      </c>
      <c r="N23" s="6">
        <f t="shared" si="7"/>
        <v>45000</v>
      </c>
      <c r="O23" s="6">
        <f t="shared" si="7"/>
        <v>45000</v>
      </c>
      <c r="P23" s="6">
        <f t="shared" si="7"/>
        <v>45000</v>
      </c>
      <c r="Q23" s="6">
        <f t="shared" si="7"/>
        <v>45000</v>
      </c>
      <c r="R23" s="6">
        <f t="shared" si="7"/>
        <v>45000</v>
      </c>
      <c r="S23" s="6">
        <f t="shared" si="7"/>
        <v>45000</v>
      </c>
    </row>
    <row r="24" spans="2:19" outlineLevel="1" x14ac:dyDescent="0.3">
      <c r="B24" s="14" t="s">
        <v>30</v>
      </c>
      <c r="C24" s="8"/>
      <c r="D24" s="8"/>
      <c r="E24" s="8"/>
      <c r="F24" s="8"/>
      <c r="G24" s="8"/>
      <c r="H24" s="14">
        <f>SUM(H21:H23)</f>
        <v>200000</v>
      </c>
      <c r="I24" s="14">
        <f t="shared" ref="I24:S24" si="8">SUM(I21:I23)</f>
        <v>220500.00000000003</v>
      </c>
      <c r="J24" s="14">
        <f t="shared" si="8"/>
        <v>243050.00000000003</v>
      </c>
      <c r="K24" s="14">
        <f t="shared" si="8"/>
        <v>267855.00000000012</v>
      </c>
      <c r="L24" s="14">
        <f t="shared" si="8"/>
        <v>295140.50000000012</v>
      </c>
      <c r="M24" s="14">
        <f t="shared" si="8"/>
        <v>325154.55000000016</v>
      </c>
      <c r="N24" s="14">
        <f t="shared" si="8"/>
        <v>358170.00500000024</v>
      </c>
      <c r="O24" s="14">
        <f t="shared" si="8"/>
        <v>394487.00550000026</v>
      </c>
      <c r="P24" s="14">
        <f t="shared" si="8"/>
        <v>434435.70605000033</v>
      </c>
      <c r="Q24" s="14">
        <f t="shared" si="8"/>
        <v>478379.2766550004</v>
      </c>
      <c r="R24" s="14">
        <f t="shared" si="8"/>
        <v>526717.20432050049</v>
      </c>
      <c r="S24" s="14">
        <f t="shared" si="8"/>
        <v>579888.92475255055</v>
      </c>
    </row>
    <row r="25" spans="2:19" outlineLevel="1" x14ac:dyDescent="0.3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 outlineLevel="1" x14ac:dyDescent="0.3">
      <c r="B26" s="4" t="s">
        <v>31</v>
      </c>
      <c r="D26" s="117">
        <f>SUM(H45:S45)</f>
        <v>2808000</v>
      </c>
    </row>
    <row r="27" spans="2:19" outlineLevel="1" x14ac:dyDescent="0.3"/>
    <row r="28" spans="2:19" outlineLevel="1" x14ac:dyDescent="0.3">
      <c r="B28" s="4" t="s">
        <v>3</v>
      </c>
    </row>
    <row r="29" spans="2:19" outlineLevel="1" x14ac:dyDescent="0.3">
      <c r="B29" t="s">
        <v>4</v>
      </c>
      <c r="E29" s="11" t="s">
        <v>32</v>
      </c>
      <c r="H29" s="73">
        <v>40000</v>
      </c>
      <c r="I29" s="74">
        <v>40000</v>
      </c>
      <c r="J29" s="6">
        <v>40000</v>
      </c>
      <c r="K29" s="6">
        <v>40000</v>
      </c>
      <c r="L29" s="6">
        <v>40000</v>
      </c>
      <c r="M29" s="6">
        <v>40000</v>
      </c>
      <c r="N29" s="6">
        <v>40000</v>
      </c>
      <c r="O29" s="6">
        <v>40000</v>
      </c>
      <c r="P29" s="6">
        <v>40000</v>
      </c>
      <c r="Q29" s="6">
        <v>40000</v>
      </c>
      <c r="R29" s="6">
        <v>40000</v>
      </c>
      <c r="S29" s="6">
        <v>40000</v>
      </c>
    </row>
    <row r="30" spans="2:19" outlineLevel="1" x14ac:dyDescent="0.3">
      <c r="B30" t="s">
        <v>5</v>
      </c>
      <c r="E30" s="11" t="s">
        <v>32</v>
      </c>
      <c r="H30" s="73">
        <v>40000</v>
      </c>
      <c r="I30" s="74">
        <v>40000</v>
      </c>
      <c r="J30" s="6">
        <v>40000</v>
      </c>
      <c r="K30" s="6">
        <v>40000</v>
      </c>
      <c r="L30" s="6">
        <v>40000</v>
      </c>
      <c r="M30" s="6">
        <v>40000</v>
      </c>
      <c r="N30" s="6">
        <v>40000</v>
      </c>
      <c r="O30" s="6">
        <v>40000</v>
      </c>
      <c r="P30" s="6">
        <v>40000</v>
      </c>
      <c r="Q30" s="6">
        <v>40000</v>
      </c>
      <c r="R30" s="6">
        <v>40000</v>
      </c>
      <c r="S30" s="6">
        <v>40000</v>
      </c>
    </row>
    <row r="31" spans="2:19" outlineLevel="1" x14ac:dyDescent="0.3">
      <c r="B31" t="s">
        <v>6</v>
      </c>
      <c r="E31" s="11" t="s">
        <v>34</v>
      </c>
      <c r="H31" s="73">
        <f>1*20000</f>
        <v>20000</v>
      </c>
      <c r="I31" s="74">
        <f t="shared" ref="I31:S31" si="9">1*20000</f>
        <v>20000</v>
      </c>
      <c r="J31" s="6">
        <f t="shared" si="9"/>
        <v>20000</v>
      </c>
      <c r="K31" s="6">
        <f t="shared" si="9"/>
        <v>20000</v>
      </c>
      <c r="L31" s="6">
        <f t="shared" si="9"/>
        <v>20000</v>
      </c>
      <c r="M31" s="6">
        <f t="shared" si="9"/>
        <v>20000</v>
      </c>
      <c r="N31" s="6">
        <f t="shared" si="9"/>
        <v>20000</v>
      </c>
      <c r="O31" s="6">
        <f t="shared" si="9"/>
        <v>20000</v>
      </c>
      <c r="P31" s="6">
        <f t="shared" si="9"/>
        <v>20000</v>
      </c>
      <c r="Q31" s="6">
        <f t="shared" si="9"/>
        <v>20000</v>
      </c>
      <c r="R31" s="6">
        <f t="shared" si="9"/>
        <v>20000</v>
      </c>
      <c r="S31" s="6">
        <f t="shared" si="9"/>
        <v>20000</v>
      </c>
    </row>
    <row r="32" spans="2:19" outlineLevel="1" x14ac:dyDescent="0.3">
      <c r="B32" t="s">
        <v>8</v>
      </c>
      <c r="E32" s="11" t="s">
        <v>33</v>
      </c>
      <c r="H32" s="73">
        <v>20000</v>
      </c>
      <c r="I32" s="74">
        <v>20000</v>
      </c>
      <c r="J32" s="74">
        <v>20000</v>
      </c>
      <c r="K32" s="74">
        <v>20000</v>
      </c>
      <c r="L32" s="74">
        <v>20000</v>
      </c>
      <c r="M32" s="74">
        <v>20000</v>
      </c>
      <c r="N32" s="74">
        <v>20000</v>
      </c>
      <c r="O32" s="74">
        <v>20000</v>
      </c>
      <c r="P32" s="74">
        <v>20000</v>
      </c>
      <c r="Q32" s="74">
        <v>20000</v>
      </c>
      <c r="R32" s="74">
        <v>20000</v>
      </c>
      <c r="S32" s="74">
        <v>20000</v>
      </c>
    </row>
    <row r="33" spans="2:19" outlineLevel="1" x14ac:dyDescent="0.3">
      <c r="B33" t="s">
        <v>7</v>
      </c>
      <c r="E33" s="11" t="s">
        <v>35</v>
      </c>
      <c r="H33" s="73">
        <f>2*20000</f>
        <v>40000</v>
      </c>
      <c r="I33" s="74">
        <f t="shared" ref="I33:S33" si="10">2*20000</f>
        <v>40000</v>
      </c>
      <c r="J33" s="6">
        <f t="shared" si="10"/>
        <v>40000</v>
      </c>
      <c r="K33" s="6">
        <f t="shared" si="10"/>
        <v>40000</v>
      </c>
      <c r="L33" s="6">
        <f t="shared" si="10"/>
        <v>40000</v>
      </c>
      <c r="M33" s="6">
        <f t="shared" si="10"/>
        <v>40000</v>
      </c>
      <c r="N33" s="6">
        <f t="shared" si="10"/>
        <v>40000</v>
      </c>
      <c r="O33" s="6">
        <f t="shared" si="10"/>
        <v>40000</v>
      </c>
      <c r="P33" s="6">
        <f t="shared" si="10"/>
        <v>40000</v>
      </c>
      <c r="Q33" s="6">
        <f t="shared" si="10"/>
        <v>40000</v>
      </c>
      <c r="R33" s="6">
        <f t="shared" si="10"/>
        <v>40000</v>
      </c>
      <c r="S33" s="6">
        <f t="shared" si="10"/>
        <v>40000</v>
      </c>
    </row>
    <row r="34" spans="2:19" outlineLevel="1" x14ac:dyDescent="0.3">
      <c r="B34" s="13" t="s">
        <v>36</v>
      </c>
      <c r="C34" s="7"/>
      <c r="D34" s="7"/>
      <c r="E34" s="7"/>
      <c r="F34" s="7"/>
      <c r="G34" s="7"/>
      <c r="H34" s="43">
        <f>SUM(H29:H33)</f>
        <v>160000</v>
      </c>
      <c r="I34" s="43">
        <f t="shared" ref="I34:S34" si="11">SUM(I29:I33)</f>
        <v>160000</v>
      </c>
      <c r="J34" s="43">
        <f t="shared" si="11"/>
        <v>160000</v>
      </c>
      <c r="K34" s="43">
        <f t="shared" si="11"/>
        <v>160000</v>
      </c>
      <c r="L34" s="43">
        <f t="shared" si="11"/>
        <v>160000</v>
      </c>
      <c r="M34" s="43">
        <f t="shared" si="11"/>
        <v>160000</v>
      </c>
      <c r="N34" s="43">
        <f t="shared" si="11"/>
        <v>160000</v>
      </c>
      <c r="O34" s="43">
        <f t="shared" si="11"/>
        <v>160000</v>
      </c>
      <c r="P34" s="43">
        <f t="shared" si="11"/>
        <v>160000</v>
      </c>
      <c r="Q34" s="43">
        <f t="shared" si="11"/>
        <v>160000</v>
      </c>
      <c r="R34" s="43">
        <f t="shared" si="11"/>
        <v>160000</v>
      </c>
      <c r="S34" s="43">
        <f t="shared" si="11"/>
        <v>160000</v>
      </c>
    </row>
    <row r="35" spans="2:19" outlineLevel="1" x14ac:dyDescent="0.3"/>
    <row r="36" spans="2:19" outlineLevel="1" x14ac:dyDescent="0.3">
      <c r="B36" s="4" t="s">
        <v>37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2:19" outlineLevel="1" x14ac:dyDescent="0.3">
      <c r="B37" t="s">
        <v>9</v>
      </c>
      <c r="D37" s="3"/>
      <c r="E37" s="11" t="s">
        <v>33</v>
      </c>
      <c r="F37" s="3"/>
      <c r="G37" s="3"/>
      <c r="H37" s="73">
        <v>20000</v>
      </c>
      <c r="I37" s="6">
        <v>20000</v>
      </c>
      <c r="J37" s="6">
        <v>20000</v>
      </c>
      <c r="K37" s="6">
        <v>20000</v>
      </c>
      <c r="L37" s="6">
        <v>20000</v>
      </c>
      <c r="M37" s="6">
        <v>20000</v>
      </c>
      <c r="N37" s="6">
        <v>20000</v>
      </c>
      <c r="O37" s="6">
        <v>20000</v>
      </c>
      <c r="P37" s="6">
        <v>20000</v>
      </c>
      <c r="Q37" s="6">
        <v>20000</v>
      </c>
      <c r="R37" s="6">
        <v>20000</v>
      </c>
      <c r="S37" s="6">
        <v>20000</v>
      </c>
    </row>
    <row r="38" spans="2:19" outlineLevel="1" x14ac:dyDescent="0.3">
      <c r="B38" t="s">
        <v>10</v>
      </c>
      <c r="E38" s="11" t="s">
        <v>38</v>
      </c>
      <c r="H38" s="73">
        <v>5000</v>
      </c>
      <c r="I38" s="6">
        <v>5000</v>
      </c>
      <c r="J38" s="6">
        <v>5000</v>
      </c>
      <c r="K38" s="6">
        <v>5000</v>
      </c>
      <c r="L38" s="6">
        <v>5000</v>
      </c>
      <c r="M38" s="6">
        <v>5000</v>
      </c>
      <c r="N38" s="6">
        <v>5000</v>
      </c>
      <c r="O38" s="6">
        <v>5000</v>
      </c>
      <c r="P38" s="6">
        <v>5000</v>
      </c>
      <c r="Q38" s="6">
        <v>5000</v>
      </c>
      <c r="R38" s="6">
        <v>5000</v>
      </c>
      <c r="S38" s="6">
        <v>5000</v>
      </c>
    </row>
    <row r="39" spans="2:19" outlineLevel="1" x14ac:dyDescent="0.3">
      <c r="B39" t="s">
        <v>11</v>
      </c>
      <c r="E39" s="11" t="s">
        <v>39</v>
      </c>
      <c r="H39" s="73">
        <v>10000</v>
      </c>
      <c r="I39" s="6">
        <v>10000</v>
      </c>
      <c r="J39" s="6">
        <v>10000</v>
      </c>
      <c r="K39" s="6">
        <v>10000</v>
      </c>
      <c r="L39" s="6">
        <v>10000</v>
      </c>
      <c r="M39" s="6">
        <v>10000</v>
      </c>
      <c r="N39" s="6">
        <v>10000</v>
      </c>
      <c r="O39" s="6">
        <v>10000</v>
      </c>
      <c r="P39" s="6">
        <v>10000</v>
      </c>
      <c r="Q39" s="6">
        <v>10000</v>
      </c>
      <c r="R39" s="6">
        <v>10000</v>
      </c>
      <c r="S39" s="6">
        <v>10000</v>
      </c>
    </row>
    <row r="40" spans="2:19" outlineLevel="1" x14ac:dyDescent="0.3">
      <c r="B40" t="s">
        <v>12</v>
      </c>
      <c r="D40" s="3"/>
      <c r="E40" s="11" t="s">
        <v>39</v>
      </c>
      <c r="F40" s="3"/>
      <c r="G40" s="3"/>
      <c r="H40" s="73">
        <v>10000</v>
      </c>
      <c r="I40" s="6">
        <v>10000</v>
      </c>
      <c r="J40" s="6">
        <v>10000</v>
      </c>
      <c r="K40" s="6">
        <v>10000</v>
      </c>
      <c r="L40" s="6">
        <v>10000</v>
      </c>
      <c r="M40" s="6">
        <v>10000</v>
      </c>
      <c r="N40" s="6">
        <v>10000</v>
      </c>
      <c r="O40" s="6">
        <v>10000</v>
      </c>
      <c r="P40" s="6">
        <v>10000</v>
      </c>
      <c r="Q40" s="6">
        <v>10000</v>
      </c>
      <c r="R40" s="6">
        <v>10000</v>
      </c>
      <c r="S40" s="6">
        <v>10000</v>
      </c>
    </row>
    <row r="41" spans="2:19" outlineLevel="1" x14ac:dyDescent="0.3">
      <c r="B41" t="s">
        <v>13</v>
      </c>
      <c r="E41" s="11" t="s">
        <v>40</v>
      </c>
      <c r="H41" s="73">
        <v>4000</v>
      </c>
      <c r="I41" s="6">
        <v>4000</v>
      </c>
      <c r="J41" s="6">
        <v>4000</v>
      </c>
      <c r="K41" s="6">
        <v>4000</v>
      </c>
      <c r="L41" s="6">
        <v>4000</v>
      </c>
      <c r="M41" s="6">
        <v>4000</v>
      </c>
      <c r="N41" s="6">
        <v>4000</v>
      </c>
      <c r="O41" s="6">
        <v>4000</v>
      </c>
      <c r="P41" s="6">
        <v>4000</v>
      </c>
      <c r="Q41" s="6">
        <v>4000</v>
      </c>
      <c r="R41" s="6">
        <v>4000</v>
      </c>
      <c r="S41" s="6">
        <v>4000</v>
      </c>
    </row>
    <row r="42" spans="2:19" outlineLevel="1" x14ac:dyDescent="0.3">
      <c r="B42" t="s">
        <v>14</v>
      </c>
      <c r="D42" s="3"/>
      <c r="E42" s="11" t="s">
        <v>41</v>
      </c>
      <c r="H42" s="73">
        <v>25000</v>
      </c>
      <c r="I42" s="6">
        <v>25000</v>
      </c>
      <c r="J42" s="6">
        <v>25000</v>
      </c>
      <c r="K42" s="6">
        <v>25000</v>
      </c>
      <c r="L42" s="6">
        <v>25000</v>
      </c>
      <c r="M42" s="6">
        <v>25000</v>
      </c>
      <c r="N42" s="6">
        <v>25000</v>
      </c>
      <c r="O42" s="6">
        <v>25000</v>
      </c>
      <c r="P42" s="6">
        <v>25000</v>
      </c>
      <c r="Q42" s="6">
        <v>25000</v>
      </c>
      <c r="R42" s="6">
        <v>25000</v>
      </c>
      <c r="S42" s="6">
        <v>25000</v>
      </c>
    </row>
    <row r="43" spans="2:19" outlineLevel="1" x14ac:dyDescent="0.3">
      <c r="B43" s="13" t="s">
        <v>42</v>
      </c>
      <c r="C43" s="7"/>
      <c r="D43" s="7"/>
      <c r="E43" s="7"/>
      <c r="F43" s="7"/>
      <c r="G43" s="7"/>
      <c r="H43" s="31">
        <f>SUM(H37:H42)</f>
        <v>74000</v>
      </c>
      <c r="I43" s="31">
        <f t="shared" ref="I43:S43" si="12">SUM(I37:I42)</f>
        <v>74000</v>
      </c>
      <c r="J43" s="31">
        <f t="shared" si="12"/>
        <v>74000</v>
      </c>
      <c r="K43" s="31">
        <f t="shared" si="12"/>
        <v>74000</v>
      </c>
      <c r="L43" s="31">
        <f t="shared" si="12"/>
        <v>74000</v>
      </c>
      <c r="M43" s="31">
        <f t="shared" si="12"/>
        <v>74000</v>
      </c>
      <c r="N43" s="31">
        <f t="shared" si="12"/>
        <v>74000</v>
      </c>
      <c r="O43" s="31">
        <f t="shared" si="12"/>
        <v>74000</v>
      </c>
      <c r="P43" s="31">
        <f t="shared" si="12"/>
        <v>74000</v>
      </c>
      <c r="Q43" s="31">
        <f t="shared" si="12"/>
        <v>74000</v>
      </c>
      <c r="R43" s="31">
        <f t="shared" si="12"/>
        <v>74000</v>
      </c>
      <c r="S43" s="31">
        <f t="shared" si="12"/>
        <v>74000</v>
      </c>
    </row>
    <row r="44" spans="2:19" outlineLevel="1" x14ac:dyDescent="0.3"/>
    <row r="45" spans="2:19" outlineLevel="1" x14ac:dyDescent="0.3">
      <c r="B45" s="15" t="s">
        <v>43</v>
      </c>
      <c r="C45" s="16"/>
      <c r="D45" s="16"/>
      <c r="E45" s="16"/>
      <c r="F45" s="16"/>
      <c r="G45" s="16"/>
      <c r="H45" s="30">
        <f>H43+H34</f>
        <v>234000</v>
      </c>
      <c r="I45" s="30">
        <f t="shared" ref="I45:S45" si="13">I43+I34</f>
        <v>234000</v>
      </c>
      <c r="J45" s="30">
        <f t="shared" si="13"/>
        <v>234000</v>
      </c>
      <c r="K45" s="30">
        <f t="shared" si="13"/>
        <v>234000</v>
      </c>
      <c r="L45" s="30">
        <f t="shared" si="13"/>
        <v>234000</v>
      </c>
      <c r="M45" s="30">
        <f t="shared" si="13"/>
        <v>234000</v>
      </c>
      <c r="N45" s="30">
        <f t="shared" si="13"/>
        <v>234000</v>
      </c>
      <c r="O45" s="30">
        <f t="shared" si="13"/>
        <v>234000</v>
      </c>
      <c r="P45" s="30">
        <f t="shared" si="13"/>
        <v>234000</v>
      </c>
      <c r="Q45" s="30">
        <f t="shared" si="13"/>
        <v>234000</v>
      </c>
      <c r="R45" s="30">
        <f t="shared" si="13"/>
        <v>234000</v>
      </c>
      <c r="S45" s="30">
        <f t="shared" si="13"/>
        <v>234000</v>
      </c>
    </row>
    <row r="46" spans="2:19" outlineLevel="1" x14ac:dyDescent="0.3"/>
    <row r="47" spans="2:19" outlineLevel="1" x14ac:dyDescent="0.3">
      <c r="B47" s="4" t="s">
        <v>44</v>
      </c>
      <c r="D47" s="117">
        <f>F54</f>
        <v>80000</v>
      </c>
    </row>
    <row r="48" spans="2:19" outlineLevel="1" x14ac:dyDescent="0.3"/>
    <row r="49" spans="2:19" outlineLevel="1" x14ac:dyDescent="0.3">
      <c r="B49" s="26" t="s">
        <v>45</v>
      </c>
      <c r="C49" s="20"/>
      <c r="D49" s="20"/>
      <c r="E49" s="21"/>
      <c r="F49" s="21"/>
      <c r="H49" s="6"/>
    </row>
    <row r="50" spans="2:19" outlineLevel="1" x14ac:dyDescent="0.3">
      <c r="B50" s="22" t="s">
        <v>46</v>
      </c>
      <c r="E50" s="17"/>
      <c r="F50" s="76">
        <f>40000*10</f>
        <v>400000</v>
      </c>
    </row>
    <row r="51" spans="2:19" outlineLevel="1" x14ac:dyDescent="0.3">
      <c r="B51" s="22" t="s">
        <v>47</v>
      </c>
      <c r="E51" s="17"/>
      <c r="F51" s="23">
        <v>5</v>
      </c>
    </row>
    <row r="52" spans="2:19" outlineLevel="1" x14ac:dyDescent="0.3">
      <c r="B52" s="22" t="s">
        <v>44</v>
      </c>
      <c r="E52" s="17"/>
      <c r="F52" s="24">
        <f>F50/F51</f>
        <v>80000</v>
      </c>
    </row>
    <row r="53" spans="2:19" outlineLevel="1" x14ac:dyDescent="0.3">
      <c r="B53" s="22"/>
      <c r="E53" s="17"/>
      <c r="F53" s="17"/>
    </row>
    <row r="54" spans="2:19" outlineLevel="1" x14ac:dyDescent="0.3">
      <c r="B54" s="77" t="s">
        <v>48</v>
      </c>
      <c r="C54" s="71"/>
      <c r="D54" s="71"/>
      <c r="E54" s="78"/>
      <c r="F54" s="79">
        <f>F52</f>
        <v>80000</v>
      </c>
    </row>
    <row r="55" spans="2:19" outlineLevel="1" x14ac:dyDescent="0.3">
      <c r="B55" s="27" t="s">
        <v>91</v>
      </c>
      <c r="C55" s="18"/>
      <c r="D55" s="18"/>
      <c r="E55" s="28"/>
      <c r="F55" s="29">
        <f>F50-F54</f>
        <v>320000</v>
      </c>
    </row>
    <row r="56" spans="2:19" outlineLevel="1" x14ac:dyDescent="0.3"/>
    <row r="58" spans="2:19" x14ac:dyDescent="0.3">
      <c r="B58" s="176" t="s">
        <v>50</v>
      </c>
    </row>
    <row r="59" spans="2:19" x14ac:dyDescent="0.3">
      <c r="B59" s="177"/>
      <c r="H59" s="2">
        <v>45383</v>
      </c>
      <c r="I59" s="2">
        <v>45413</v>
      </c>
      <c r="J59" s="2">
        <v>45444</v>
      </c>
      <c r="K59" s="2">
        <v>45474</v>
      </c>
      <c r="L59" s="2">
        <v>45505</v>
      </c>
      <c r="M59" s="2">
        <v>45536</v>
      </c>
      <c r="N59" s="2">
        <v>45566</v>
      </c>
      <c r="O59" s="2">
        <v>45597</v>
      </c>
      <c r="P59" s="2">
        <v>45627</v>
      </c>
      <c r="Q59" s="2">
        <v>45658</v>
      </c>
      <c r="R59" s="2">
        <v>45689</v>
      </c>
      <c r="S59" s="2">
        <v>45717</v>
      </c>
    </row>
    <row r="60" spans="2:19" outlineLevel="2" x14ac:dyDescent="0.3"/>
    <row r="61" spans="2:19" outlineLevel="2" x14ac:dyDescent="0.3">
      <c r="B61" s="4" t="s">
        <v>17</v>
      </c>
      <c r="E61" s="5" t="s">
        <v>113</v>
      </c>
      <c r="H61" s="33">
        <f>S10*1.1</f>
        <v>2352.2712143931017</v>
      </c>
      <c r="I61" s="33">
        <f>H61+I62</f>
        <v>2697.4983358324121</v>
      </c>
      <c r="J61" s="33">
        <f t="shared" ref="J61:S61" si="14">I61+J62</f>
        <v>3077.2481694156536</v>
      </c>
      <c r="K61" s="33">
        <f t="shared" si="14"/>
        <v>3494.9729863572193</v>
      </c>
      <c r="L61" s="33">
        <f t="shared" si="14"/>
        <v>3954.4702849929417</v>
      </c>
      <c r="M61" s="33">
        <f t="shared" si="14"/>
        <v>4459.9173134922366</v>
      </c>
      <c r="N61" s="33">
        <f t="shared" si="14"/>
        <v>5015.9090448414609</v>
      </c>
      <c r="O61" s="33">
        <f t="shared" si="14"/>
        <v>5627.4999493256073</v>
      </c>
      <c r="P61" s="33">
        <f t="shared" si="14"/>
        <v>6300.2499442581684</v>
      </c>
      <c r="Q61" s="33">
        <f t="shared" si="14"/>
        <v>7040.274938683986</v>
      </c>
      <c r="R61" s="33">
        <f t="shared" si="14"/>
        <v>7854.3024325523847</v>
      </c>
      <c r="S61" s="33">
        <f t="shared" si="14"/>
        <v>8749.7326758076233</v>
      </c>
    </row>
    <row r="62" spans="2:19" outlineLevel="2" x14ac:dyDescent="0.3">
      <c r="B62" s="4" t="s">
        <v>19</v>
      </c>
      <c r="E62" s="5" t="s">
        <v>18</v>
      </c>
      <c r="H62" s="33">
        <f>S11*1.1</f>
        <v>313.84283767210036</v>
      </c>
      <c r="I62" s="33">
        <f>H62*1.1</f>
        <v>345.22712143931039</v>
      </c>
      <c r="J62" s="33">
        <f t="shared" ref="J62:S62" si="15">I62*1.1</f>
        <v>379.74983358324147</v>
      </c>
      <c r="K62" s="33">
        <f t="shared" si="15"/>
        <v>417.72481694156562</v>
      </c>
      <c r="L62" s="33">
        <f t="shared" si="15"/>
        <v>459.49729863572225</v>
      </c>
      <c r="M62" s="33">
        <f t="shared" si="15"/>
        <v>505.4470284992945</v>
      </c>
      <c r="N62" s="33">
        <f t="shared" si="15"/>
        <v>555.99173134922398</v>
      </c>
      <c r="O62" s="33">
        <f t="shared" si="15"/>
        <v>611.59090448414645</v>
      </c>
      <c r="P62" s="33">
        <f t="shared" si="15"/>
        <v>672.74999493256109</v>
      </c>
      <c r="Q62" s="33">
        <f t="shared" si="15"/>
        <v>740.02499442581723</v>
      </c>
      <c r="R62" s="33">
        <f t="shared" si="15"/>
        <v>814.02749386839901</v>
      </c>
      <c r="S62" s="33">
        <f t="shared" si="15"/>
        <v>895.43024325523902</v>
      </c>
    </row>
    <row r="63" spans="2:19" outlineLevel="2" x14ac:dyDescent="0.3"/>
    <row r="64" spans="2:19" outlineLevel="2" x14ac:dyDescent="0.3">
      <c r="B64" s="4" t="s">
        <v>16</v>
      </c>
      <c r="D64" s="117">
        <f>SUM(H68:S68)</f>
        <v>33601043.215067744</v>
      </c>
    </row>
    <row r="65" spans="2:19" outlineLevel="2" x14ac:dyDescent="0.3">
      <c r="B65" s="12"/>
    </row>
    <row r="66" spans="2:19" outlineLevel="2" x14ac:dyDescent="0.3">
      <c r="B66" t="s">
        <v>20</v>
      </c>
      <c r="E66" s="11" t="s">
        <v>21</v>
      </c>
      <c r="F66" s="3"/>
      <c r="G66" s="3"/>
      <c r="H66" s="6">
        <f>H62*3200</f>
        <v>1004297.0805507211</v>
      </c>
      <c r="I66" s="6">
        <f t="shared" ref="I66:S66" si="16">I62*3200</f>
        <v>1104726.7886057934</v>
      </c>
      <c r="J66" s="6">
        <f t="shared" si="16"/>
        <v>1215199.4674663728</v>
      </c>
      <c r="K66" s="6">
        <f t="shared" si="16"/>
        <v>1336719.4142130099</v>
      </c>
      <c r="L66" s="6">
        <f t="shared" si="16"/>
        <v>1470391.3556343112</v>
      </c>
      <c r="M66" s="6">
        <f t="shared" si="16"/>
        <v>1617430.4911977425</v>
      </c>
      <c r="N66" s="6">
        <f t="shared" si="16"/>
        <v>1779173.5403175168</v>
      </c>
      <c r="O66" s="6">
        <f t="shared" si="16"/>
        <v>1957090.8943492686</v>
      </c>
      <c r="P66" s="6">
        <f t="shared" si="16"/>
        <v>2152799.9837841955</v>
      </c>
      <c r="Q66" s="6">
        <f t="shared" si="16"/>
        <v>2368079.9821626153</v>
      </c>
      <c r="R66" s="6">
        <f t="shared" si="16"/>
        <v>2604887.9803788769</v>
      </c>
      <c r="S66" s="6">
        <f t="shared" si="16"/>
        <v>2865376.7784167649</v>
      </c>
    </row>
    <row r="67" spans="2:19" outlineLevel="2" x14ac:dyDescent="0.3">
      <c r="B67" t="s">
        <v>22</v>
      </c>
      <c r="E67" s="11" t="s">
        <v>23</v>
      </c>
      <c r="F67" s="3"/>
      <c r="G67" s="3"/>
      <c r="H67" s="6">
        <f>H61*200</f>
        <v>470454.24287862034</v>
      </c>
      <c r="I67" s="6">
        <f t="shared" ref="I67:S67" si="17">I61*200</f>
        <v>539499.66716648242</v>
      </c>
      <c r="J67" s="6">
        <f t="shared" si="17"/>
        <v>615449.63388313074</v>
      </c>
      <c r="K67" s="6">
        <f t="shared" si="17"/>
        <v>698994.59727144381</v>
      </c>
      <c r="L67" s="6">
        <f t="shared" si="17"/>
        <v>790894.05699858838</v>
      </c>
      <c r="M67" s="6">
        <f t="shared" si="17"/>
        <v>891983.46269844729</v>
      </c>
      <c r="N67" s="6">
        <f t="shared" si="17"/>
        <v>1003181.8089682922</v>
      </c>
      <c r="O67" s="6">
        <f t="shared" si="17"/>
        <v>1125499.9898651214</v>
      </c>
      <c r="P67" s="6">
        <f t="shared" si="17"/>
        <v>1260049.9888516336</v>
      </c>
      <c r="Q67" s="6">
        <f t="shared" si="17"/>
        <v>1408054.9877367972</v>
      </c>
      <c r="R67" s="6">
        <f t="shared" si="17"/>
        <v>1570860.486510477</v>
      </c>
      <c r="S67" s="6">
        <f t="shared" si="17"/>
        <v>1749946.5351615245</v>
      </c>
    </row>
    <row r="68" spans="2:19" outlineLevel="2" x14ac:dyDescent="0.3">
      <c r="B68" s="70" t="s">
        <v>24</v>
      </c>
      <c r="C68" s="71"/>
      <c r="D68" s="71"/>
      <c r="E68" s="9"/>
      <c r="F68" s="9"/>
      <c r="G68" s="9"/>
      <c r="H68" s="72">
        <f>H66+H67</f>
        <v>1474751.3234293414</v>
      </c>
      <c r="I68" s="72">
        <f t="shared" ref="I68" si="18">I66+I67</f>
        <v>1644226.4557722758</v>
      </c>
      <c r="J68" s="72">
        <f t="shared" ref="J68" si="19">J66+J67</f>
        <v>1830649.1013495035</v>
      </c>
      <c r="K68" s="72">
        <f t="shared" ref="K68" si="20">K66+K67</f>
        <v>2035714.0114844537</v>
      </c>
      <c r="L68" s="72">
        <f t="shared" ref="L68" si="21">L66+L67</f>
        <v>2261285.4126328994</v>
      </c>
      <c r="M68" s="72">
        <f t="shared" ref="M68" si="22">M66+M67</f>
        <v>2509413.95389619</v>
      </c>
      <c r="N68" s="72">
        <f t="shared" ref="N68" si="23">N66+N67</f>
        <v>2782355.3492858089</v>
      </c>
      <c r="O68" s="72">
        <f t="shared" ref="O68" si="24">O66+O67</f>
        <v>3082590.8842143901</v>
      </c>
      <c r="P68" s="72">
        <f t="shared" ref="P68" si="25">P66+P67</f>
        <v>3412849.9726358289</v>
      </c>
      <c r="Q68" s="72">
        <f t="shared" ref="Q68" si="26">Q66+Q67</f>
        <v>3776134.9698994122</v>
      </c>
      <c r="R68" s="72">
        <f t="shared" ref="R68" si="27">R66+R67</f>
        <v>4175748.4668893539</v>
      </c>
      <c r="S68" s="72">
        <f t="shared" ref="S68" si="28">S66+S67</f>
        <v>4615323.313578289</v>
      </c>
    </row>
    <row r="69" spans="2:19" outlineLevel="2" x14ac:dyDescent="0.3"/>
    <row r="70" spans="2:19" outlineLevel="2" x14ac:dyDescent="0.3">
      <c r="B70" s="4" t="s">
        <v>1</v>
      </c>
      <c r="D70" s="118">
        <f>SUM(H75:S75)</f>
        <v>14624573.813127572</v>
      </c>
      <c r="Q70" s="12"/>
      <c r="R70" s="12"/>
    </row>
    <row r="71" spans="2:19" outlineLevel="2" x14ac:dyDescent="0.3"/>
    <row r="72" spans="2:19" outlineLevel="2" x14ac:dyDescent="0.3">
      <c r="B72" t="s">
        <v>2</v>
      </c>
      <c r="E72" s="11" t="s">
        <v>27</v>
      </c>
      <c r="H72" s="6">
        <f>H62*1500</f>
        <v>470764.25650815055</v>
      </c>
      <c r="I72" s="6">
        <f t="shared" ref="I72:S72" si="29">I62*1500</f>
        <v>517840.68215896562</v>
      </c>
      <c r="J72" s="6">
        <f t="shared" si="29"/>
        <v>569624.75037486223</v>
      </c>
      <c r="K72" s="6">
        <f t="shared" si="29"/>
        <v>626587.2254123484</v>
      </c>
      <c r="L72" s="6">
        <f t="shared" si="29"/>
        <v>689245.94795358332</v>
      </c>
      <c r="M72" s="6">
        <f t="shared" si="29"/>
        <v>758170.54274894181</v>
      </c>
      <c r="N72" s="6">
        <f t="shared" si="29"/>
        <v>833987.59702383599</v>
      </c>
      <c r="O72" s="6">
        <f t="shared" si="29"/>
        <v>917386.35672621964</v>
      </c>
      <c r="P72" s="6">
        <f t="shared" si="29"/>
        <v>1009124.9923988417</v>
      </c>
      <c r="Q72" s="6">
        <f t="shared" si="29"/>
        <v>1110037.4916387259</v>
      </c>
      <c r="R72" s="6">
        <f t="shared" si="29"/>
        <v>1221041.2408025984</v>
      </c>
      <c r="S72" s="6">
        <f t="shared" si="29"/>
        <v>1343145.3648828585</v>
      </c>
    </row>
    <row r="73" spans="2:19" outlineLevel="2" x14ac:dyDescent="0.3">
      <c r="B73" t="s">
        <v>25</v>
      </c>
      <c r="E73" s="11" t="s">
        <v>28</v>
      </c>
      <c r="H73" s="6">
        <f>50*H61</f>
        <v>117613.56071965508</v>
      </c>
      <c r="I73" s="6">
        <f t="shared" ref="I73:S73" si="30">50*I61</f>
        <v>134874.91679162061</v>
      </c>
      <c r="J73" s="6">
        <f t="shared" si="30"/>
        <v>153862.40847078268</v>
      </c>
      <c r="K73" s="6">
        <f t="shared" si="30"/>
        <v>174748.64931786095</v>
      </c>
      <c r="L73" s="6">
        <f t="shared" si="30"/>
        <v>197723.51424964709</v>
      </c>
      <c r="M73" s="6">
        <f t="shared" si="30"/>
        <v>222995.86567461182</v>
      </c>
      <c r="N73" s="6">
        <f t="shared" si="30"/>
        <v>250795.45224207305</v>
      </c>
      <c r="O73" s="6">
        <f t="shared" si="30"/>
        <v>281374.99746628036</v>
      </c>
      <c r="P73" s="6">
        <f t="shared" si="30"/>
        <v>315012.49721290841</v>
      </c>
      <c r="Q73" s="6">
        <f t="shared" si="30"/>
        <v>352013.7469341993</v>
      </c>
      <c r="R73" s="6">
        <f t="shared" si="30"/>
        <v>392715.12162761926</v>
      </c>
      <c r="S73" s="6">
        <f t="shared" si="30"/>
        <v>437486.63379038114</v>
      </c>
    </row>
    <row r="74" spans="2:19" outlineLevel="2" x14ac:dyDescent="0.3">
      <c r="B74" t="s">
        <v>26</v>
      </c>
      <c r="E74" s="11" t="s">
        <v>60</v>
      </c>
      <c r="H74" s="6">
        <f>8*15900</f>
        <v>127200</v>
      </c>
      <c r="I74" s="6">
        <f t="shared" ref="I74:S74" si="31">8*15900</f>
        <v>127200</v>
      </c>
      <c r="J74" s="6">
        <f t="shared" si="31"/>
        <v>127200</v>
      </c>
      <c r="K74" s="6">
        <f t="shared" si="31"/>
        <v>127200</v>
      </c>
      <c r="L74" s="6">
        <f t="shared" si="31"/>
        <v>127200</v>
      </c>
      <c r="M74" s="6">
        <f t="shared" si="31"/>
        <v>127200</v>
      </c>
      <c r="N74" s="6">
        <f t="shared" si="31"/>
        <v>127200</v>
      </c>
      <c r="O74" s="6">
        <f t="shared" si="31"/>
        <v>127200</v>
      </c>
      <c r="P74" s="6">
        <f t="shared" si="31"/>
        <v>127200</v>
      </c>
      <c r="Q74" s="6">
        <f t="shared" si="31"/>
        <v>127200</v>
      </c>
      <c r="R74" s="6">
        <f t="shared" si="31"/>
        <v>127200</v>
      </c>
      <c r="S74" s="6">
        <f t="shared" si="31"/>
        <v>127200</v>
      </c>
    </row>
    <row r="75" spans="2:19" outlineLevel="2" x14ac:dyDescent="0.3">
      <c r="B75" s="69" t="s">
        <v>30</v>
      </c>
      <c r="C75" s="9"/>
      <c r="D75" s="9"/>
      <c r="E75" s="9"/>
      <c r="F75" s="9"/>
      <c r="G75" s="9"/>
      <c r="H75" s="69">
        <f>SUM(H72:H74)</f>
        <v>715577.81722780562</v>
      </c>
      <c r="I75" s="69">
        <f t="shared" ref="I75" si="32">SUM(I72:I74)</f>
        <v>779915.59895058628</v>
      </c>
      <c r="J75" s="69">
        <f t="shared" ref="J75" si="33">SUM(J72:J74)</f>
        <v>850687.15884564491</v>
      </c>
      <c r="K75" s="69">
        <f t="shared" ref="K75" si="34">SUM(K72:K74)</f>
        <v>928535.87473020935</v>
      </c>
      <c r="L75" s="69">
        <f t="shared" ref="L75" si="35">SUM(L72:L74)</f>
        <v>1014169.4622032305</v>
      </c>
      <c r="M75" s="69">
        <f t="shared" ref="M75" si="36">SUM(M72:M74)</f>
        <v>1108366.4084235537</v>
      </c>
      <c r="N75" s="69">
        <f t="shared" ref="N75" si="37">SUM(N72:N74)</f>
        <v>1211983.049265909</v>
      </c>
      <c r="O75" s="69">
        <f t="shared" ref="O75" si="38">SUM(O72:O74)</f>
        <v>1325961.3541925</v>
      </c>
      <c r="P75" s="69">
        <f t="shared" ref="P75" si="39">SUM(P72:P74)</f>
        <v>1451337.48961175</v>
      </c>
      <c r="Q75" s="69">
        <f t="shared" ref="Q75" si="40">SUM(Q72:Q74)</f>
        <v>1589251.2385729251</v>
      </c>
      <c r="R75" s="69">
        <f t="shared" ref="R75" si="41">SUM(R72:R74)</f>
        <v>1740956.3624302177</v>
      </c>
      <c r="S75" s="69">
        <f t="shared" ref="S75" si="42">SUM(S72:S74)</f>
        <v>1907831.9986732397</v>
      </c>
    </row>
    <row r="76" spans="2:19" outlineLevel="2" x14ac:dyDescent="0.3"/>
    <row r="77" spans="2:19" outlineLevel="2" x14ac:dyDescent="0.3">
      <c r="B77" s="4" t="s">
        <v>31</v>
      </c>
      <c r="D77" s="117">
        <f>SUM(H96:S96)</f>
        <v>3775200</v>
      </c>
    </row>
    <row r="78" spans="2:19" outlineLevel="2" x14ac:dyDescent="0.3"/>
    <row r="79" spans="2:19" outlineLevel="2" x14ac:dyDescent="0.3">
      <c r="B79" s="4" t="s">
        <v>3</v>
      </c>
    </row>
    <row r="80" spans="2:19" outlineLevel="2" x14ac:dyDescent="0.3">
      <c r="B80" t="s">
        <v>4</v>
      </c>
      <c r="E80" s="11" t="s">
        <v>61</v>
      </c>
      <c r="H80" s="73">
        <v>42400</v>
      </c>
      <c r="I80" s="6">
        <v>42400</v>
      </c>
      <c r="J80" s="6">
        <v>42400</v>
      </c>
      <c r="K80" s="6">
        <v>42400</v>
      </c>
      <c r="L80" s="6">
        <v>42400</v>
      </c>
      <c r="M80" s="6">
        <v>42400</v>
      </c>
      <c r="N80" s="6">
        <v>42400</v>
      </c>
      <c r="O80" s="6">
        <v>42400</v>
      </c>
      <c r="P80" s="6">
        <v>42400</v>
      </c>
      <c r="Q80" s="6">
        <v>42400</v>
      </c>
      <c r="R80" s="6">
        <v>42400</v>
      </c>
      <c r="S80" s="6">
        <v>42400</v>
      </c>
    </row>
    <row r="81" spans="2:19" outlineLevel="2" x14ac:dyDescent="0.3">
      <c r="B81" t="s">
        <v>5</v>
      </c>
      <c r="E81" s="11" t="s">
        <v>61</v>
      </c>
      <c r="H81" s="73">
        <v>42400</v>
      </c>
      <c r="I81" s="6">
        <v>42400</v>
      </c>
      <c r="J81" s="6">
        <v>42400</v>
      </c>
      <c r="K81" s="6">
        <v>42400</v>
      </c>
      <c r="L81" s="6">
        <v>42400</v>
      </c>
      <c r="M81" s="6">
        <v>42400</v>
      </c>
      <c r="N81" s="6">
        <v>42400</v>
      </c>
      <c r="O81" s="6">
        <v>42400</v>
      </c>
      <c r="P81" s="6">
        <v>42400</v>
      </c>
      <c r="Q81" s="6">
        <v>42400</v>
      </c>
      <c r="R81" s="6">
        <v>42400</v>
      </c>
      <c r="S81" s="6">
        <v>42400</v>
      </c>
    </row>
    <row r="82" spans="2:19" outlineLevel="2" x14ac:dyDescent="0.3">
      <c r="B82" t="s">
        <v>6</v>
      </c>
      <c r="E82" s="11" t="s">
        <v>62</v>
      </c>
      <c r="H82" s="73">
        <f>2*21200</f>
        <v>42400</v>
      </c>
      <c r="I82" s="6">
        <f t="shared" ref="I82:S82" si="43">2*21200</f>
        <v>42400</v>
      </c>
      <c r="J82" s="6">
        <f t="shared" si="43"/>
        <v>42400</v>
      </c>
      <c r="K82" s="6">
        <f t="shared" si="43"/>
        <v>42400</v>
      </c>
      <c r="L82" s="6">
        <f t="shared" si="43"/>
        <v>42400</v>
      </c>
      <c r="M82" s="6">
        <f t="shared" si="43"/>
        <v>42400</v>
      </c>
      <c r="N82" s="6">
        <f t="shared" si="43"/>
        <v>42400</v>
      </c>
      <c r="O82" s="6">
        <f t="shared" si="43"/>
        <v>42400</v>
      </c>
      <c r="P82" s="6">
        <f t="shared" si="43"/>
        <v>42400</v>
      </c>
      <c r="Q82" s="6">
        <f t="shared" si="43"/>
        <v>42400</v>
      </c>
      <c r="R82" s="6">
        <f t="shared" si="43"/>
        <v>42400</v>
      </c>
      <c r="S82" s="6">
        <f t="shared" si="43"/>
        <v>42400</v>
      </c>
    </row>
    <row r="83" spans="2:19" outlineLevel="2" x14ac:dyDescent="0.3">
      <c r="B83" t="s">
        <v>8</v>
      </c>
      <c r="E83" s="11" t="s">
        <v>63</v>
      </c>
      <c r="H83" s="73">
        <v>21200</v>
      </c>
      <c r="I83" s="6">
        <v>21200</v>
      </c>
      <c r="J83" s="6">
        <v>21200</v>
      </c>
      <c r="K83" s="6">
        <v>21200</v>
      </c>
      <c r="L83" s="6">
        <v>21200</v>
      </c>
      <c r="M83" s="6">
        <v>21200</v>
      </c>
      <c r="N83" s="6">
        <v>21200</v>
      </c>
      <c r="O83" s="6">
        <v>21200</v>
      </c>
      <c r="P83" s="6">
        <v>21200</v>
      </c>
      <c r="Q83" s="6">
        <v>21200</v>
      </c>
      <c r="R83" s="6">
        <v>21200</v>
      </c>
      <c r="S83" s="6">
        <v>21200</v>
      </c>
    </row>
    <row r="84" spans="2:19" outlineLevel="2" x14ac:dyDescent="0.3">
      <c r="B84" t="s">
        <v>7</v>
      </c>
      <c r="E84" s="11" t="s">
        <v>64</v>
      </c>
      <c r="H84" s="73">
        <f>4*21200</f>
        <v>84800</v>
      </c>
      <c r="I84" s="6">
        <f t="shared" ref="I84:S84" si="44">4*21200</f>
        <v>84800</v>
      </c>
      <c r="J84" s="6">
        <f t="shared" si="44"/>
        <v>84800</v>
      </c>
      <c r="K84" s="6">
        <f t="shared" si="44"/>
        <v>84800</v>
      </c>
      <c r="L84" s="6">
        <f t="shared" si="44"/>
        <v>84800</v>
      </c>
      <c r="M84" s="6">
        <f t="shared" si="44"/>
        <v>84800</v>
      </c>
      <c r="N84" s="6">
        <f t="shared" si="44"/>
        <v>84800</v>
      </c>
      <c r="O84" s="6">
        <f t="shared" si="44"/>
        <v>84800</v>
      </c>
      <c r="P84" s="6">
        <f t="shared" si="44"/>
        <v>84800</v>
      </c>
      <c r="Q84" s="6">
        <f t="shared" si="44"/>
        <v>84800</v>
      </c>
      <c r="R84" s="6">
        <f t="shared" si="44"/>
        <v>84800</v>
      </c>
      <c r="S84" s="6">
        <f t="shared" si="44"/>
        <v>84800</v>
      </c>
    </row>
    <row r="85" spans="2:19" outlineLevel="2" x14ac:dyDescent="0.3">
      <c r="B85" s="13" t="s">
        <v>36</v>
      </c>
      <c r="C85" s="7"/>
      <c r="D85" s="7"/>
      <c r="E85" s="7"/>
      <c r="F85" s="7"/>
      <c r="G85" s="7"/>
      <c r="H85" s="43">
        <f>SUM(H80:H84)</f>
        <v>233200</v>
      </c>
      <c r="I85" s="43">
        <f t="shared" ref="I85" si="45">SUM(I80:I84)</f>
        <v>233200</v>
      </c>
      <c r="J85" s="43">
        <f t="shared" ref="J85" si="46">SUM(J80:J84)</f>
        <v>233200</v>
      </c>
      <c r="K85" s="43">
        <f t="shared" ref="K85" si="47">SUM(K80:K84)</f>
        <v>233200</v>
      </c>
      <c r="L85" s="43">
        <f t="shared" ref="L85" si="48">SUM(L80:L84)</f>
        <v>233200</v>
      </c>
      <c r="M85" s="43">
        <f t="shared" ref="M85" si="49">SUM(M80:M84)</f>
        <v>233200</v>
      </c>
      <c r="N85" s="43">
        <f t="shared" ref="N85" si="50">SUM(N80:N84)</f>
        <v>233200</v>
      </c>
      <c r="O85" s="43">
        <f t="shared" ref="O85" si="51">SUM(O80:O84)</f>
        <v>233200</v>
      </c>
      <c r="P85" s="43">
        <f t="shared" ref="P85" si="52">SUM(P80:P84)</f>
        <v>233200</v>
      </c>
      <c r="Q85" s="43">
        <f t="shared" ref="Q85" si="53">SUM(Q80:Q84)</f>
        <v>233200</v>
      </c>
      <c r="R85" s="43">
        <f t="shared" ref="R85" si="54">SUM(R80:R84)</f>
        <v>233200</v>
      </c>
      <c r="S85" s="43">
        <f t="shared" ref="S85" si="55">SUM(S80:S84)</f>
        <v>233200</v>
      </c>
    </row>
    <row r="86" spans="2:19" outlineLevel="2" x14ac:dyDescent="0.3"/>
    <row r="87" spans="2:19" outlineLevel="2" x14ac:dyDescent="0.3">
      <c r="B87" s="4" t="s">
        <v>37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2:19" outlineLevel="2" x14ac:dyDescent="0.3">
      <c r="B88" t="s">
        <v>9</v>
      </c>
      <c r="D88" s="3"/>
      <c r="E88" s="11" t="s">
        <v>65</v>
      </c>
      <c r="F88" s="3"/>
      <c r="G88" s="3"/>
      <c r="H88" s="73">
        <v>22000</v>
      </c>
      <c r="I88" s="6">
        <v>22000</v>
      </c>
      <c r="J88" s="6">
        <v>22000</v>
      </c>
      <c r="K88" s="6">
        <v>22000</v>
      </c>
      <c r="L88" s="6">
        <v>22000</v>
      </c>
      <c r="M88" s="6">
        <v>22000</v>
      </c>
      <c r="N88" s="6">
        <v>22000</v>
      </c>
      <c r="O88" s="6">
        <v>22000</v>
      </c>
      <c r="P88" s="6">
        <v>22000</v>
      </c>
      <c r="Q88" s="6">
        <v>22000</v>
      </c>
      <c r="R88" s="6">
        <v>22000</v>
      </c>
      <c r="S88" s="6">
        <v>22000</v>
      </c>
    </row>
    <row r="89" spans="2:19" outlineLevel="2" x14ac:dyDescent="0.3">
      <c r="B89" t="s">
        <v>10</v>
      </c>
      <c r="E89" s="11" t="s">
        <v>66</v>
      </c>
      <c r="H89" s="73">
        <v>5500</v>
      </c>
      <c r="I89" s="6">
        <v>5500</v>
      </c>
      <c r="J89" s="6">
        <v>5500</v>
      </c>
      <c r="K89" s="6">
        <v>5500</v>
      </c>
      <c r="L89" s="6">
        <v>5500</v>
      </c>
      <c r="M89" s="6">
        <v>5500</v>
      </c>
      <c r="N89" s="6">
        <v>5500</v>
      </c>
      <c r="O89" s="6">
        <v>5500</v>
      </c>
      <c r="P89" s="6">
        <v>5500</v>
      </c>
      <c r="Q89" s="6">
        <v>5500</v>
      </c>
      <c r="R89" s="6">
        <v>5500</v>
      </c>
      <c r="S89" s="6">
        <v>5500</v>
      </c>
    </row>
    <row r="90" spans="2:19" outlineLevel="2" x14ac:dyDescent="0.3">
      <c r="B90" t="s">
        <v>11</v>
      </c>
      <c r="E90" s="11" t="s">
        <v>67</v>
      </c>
      <c r="H90" s="73">
        <v>11000</v>
      </c>
      <c r="I90" s="6">
        <v>11000</v>
      </c>
      <c r="J90" s="6">
        <v>11000</v>
      </c>
      <c r="K90" s="6">
        <v>11000</v>
      </c>
      <c r="L90" s="6">
        <v>11000</v>
      </c>
      <c r="M90" s="6">
        <v>11000</v>
      </c>
      <c r="N90" s="6">
        <v>11000</v>
      </c>
      <c r="O90" s="6">
        <v>11000</v>
      </c>
      <c r="P90" s="6">
        <v>11000</v>
      </c>
      <c r="Q90" s="6">
        <v>11000</v>
      </c>
      <c r="R90" s="6">
        <v>11000</v>
      </c>
      <c r="S90" s="6">
        <v>11000</v>
      </c>
    </row>
    <row r="91" spans="2:19" outlineLevel="2" x14ac:dyDescent="0.3">
      <c r="B91" t="s">
        <v>12</v>
      </c>
      <c r="D91" s="3"/>
      <c r="E91" s="11" t="s">
        <v>67</v>
      </c>
      <c r="F91" s="3"/>
      <c r="G91" s="3"/>
      <c r="H91" s="73">
        <v>11000</v>
      </c>
      <c r="I91" s="6">
        <v>11000</v>
      </c>
      <c r="J91" s="6">
        <v>11000</v>
      </c>
      <c r="K91" s="6">
        <v>11000</v>
      </c>
      <c r="L91" s="6">
        <v>11000</v>
      </c>
      <c r="M91" s="6">
        <v>11000</v>
      </c>
      <c r="N91" s="6">
        <v>11000</v>
      </c>
      <c r="O91" s="6">
        <v>11000</v>
      </c>
      <c r="P91" s="6">
        <v>11000</v>
      </c>
      <c r="Q91" s="6">
        <v>11000</v>
      </c>
      <c r="R91" s="6">
        <v>11000</v>
      </c>
      <c r="S91" s="6">
        <v>11000</v>
      </c>
    </row>
    <row r="92" spans="2:19" outlineLevel="2" x14ac:dyDescent="0.3">
      <c r="B92" t="s">
        <v>13</v>
      </c>
      <c r="E92" s="11" t="s">
        <v>68</v>
      </c>
      <c r="H92" s="73">
        <v>4400</v>
      </c>
      <c r="I92" s="6">
        <v>4400</v>
      </c>
      <c r="J92" s="6">
        <v>4400</v>
      </c>
      <c r="K92" s="6">
        <v>4400</v>
      </c>
      <c r="L92" s="6">
        <v>4400</v>
      </c>
      <c r="M92" s="6">
        <v>4400</v>
      </c>
      <c r="N92" s="6">
        <v>4400</v>
      </c>
      <c r="O92" s="6">
        <v>4400</v>
      </c>
      <c r="P92" s="6">
        <v>4400</v>
      </c>
      <c r="Q92" s="6">
        <v>4400</v>
      </c>
      <c r="R92" s="6">
        <v>4400</v>
      </c>
      <c r="S92" s="6">
        <v>4400</v>
      </c>
    </row>
    <row r="93" spans="2:19" outlineLevel="2" x14ac:dyDescent="0.3">
      <c r="B93" t="s">
        <v>14</v>
      </c>
      <c r="D93" s="3"/>
      <c r="E93" s="11" t="s">
        <v>69</v>
      </c>
      <c r="H93" s="73">
        <v>27500</v>
      </c>
      <c r="I93" s="6">
        <v>27500</v>
      </c>
      <c r="J93" s="6">
        <v>27500</v>
      </c>
      <c r="K93" s="6">
        <v>27500</v>
      </c>
      <c r="L93" s="6">
        <v>27500</v>
      </c>
      <c r="M93" s="6">
        <v>27500</v>
      </c>
      <c r="N93" s="6">
        <v>27500</v>
      </c>
      <c r="O93" s="6">
        <v>27500</v>
      </c>
      <c r="P93" s="6">
        <v>27500</v>
      </c>
      <c r="Q93" s="6">
        <v>27500</v>
      </c>
      <c r="R93" s="6">
        <v>27500</v>
      </c>
      <c r="S93" s="6">
        <v>27500</v>
      </c>
    </row>
    <row r="94" spans="2:19" outlineLevel="2" x14ac:dyDescent="0.3">
      <c r="B94" s="13" t="s">
        <v>42</v>
      </c>
      <c r="C94" s="7"/>
      <c r="D94" s="7"/>
      <c r="E94" s="7"/>
      <c r="F94" s="7"/>
      <c r="G94" s="7"/>
      <c r="H94" s="31">
        <f>SUM(H88:H93)</f>
        <v>81400</v>
      </c>
      <c r="I94" s="31">
        <f t="shared" ref="I94" si="56">SUM(I88:I93)</f>
        <v>81400</v>
      </c>
      <c r="J94" s="31">
        <f t="shared" ref="J94" si="57">SUM(J88:J93)</f>
        <v>81400</v>
      </c>
      <c r="K94" s="31">
        <f t="shared" ref="K94" si="58">SUM(K88:K93)</f>
        <v>81400</v>
      </c>
      <c r="L94" s="31">
        <f t="shared" ref="L94" si="59">SUM(L88:L93)</f>
        <v>81400</v>
      </c>
      <c r="M94" s="31">
        <f t="shared" ref="M94" si="60">SUM(M88:M93)</f>
        <v>81400</v>
      </c>
      <c r="N94" s="31">
        <f t="shared" ref="N94" si="61">SUM(N88:N93)</f>
        <v>81400</v>
      </c>
      <c r="O94" s="31">
        <f t="shared" ref="O94" si="62">SUM(O88:O93)</f>
        <v>81400</v>
      </c>
      <c r="P94" s="31">
        <f t="shared" ref="P94" si="63">SUM(P88:P93)</f>
        <v>81400</v>
      </c>
      <c r="Q94" s="31">
        <f t="shared" ref="Q94" si="64">SUM(Q88:Q93)</f>
        <v>81400</v>
      </c>
      <c r="R94" s="31">
        <f t="shared" ref="R94" si="65">SUM(R88:R93)</f>
        <v>81400</v>
      </c>
      <c r="S94" s="31">
        <f t="shared" ref="S94" si="66">SUM(S88:S93)</f>
        <v>81400</v>
      </c>
    </row>
    <row r="95" spans="2:19" outlineLevel="2" x14ac:dyDescent="0.3"/>
    <row r="96" spans="2:19" outlineLevel="2" x14ac:dyDescent="0.3">
      <c r="B96" s="15" t="s">
        <v>43</v>
      </c>
      <c r="C96" s="16"/>
      <c r="D96" s="16"/>
      <c r="E96" s="16"/>
      <c r="F96" s="16"/>
      <c r="G96" s="16"/>
      <c r="H96" s="30">
        <f>H94+H85</f>
        <v>314600</v>
      </c>
      <c r="I96" s="30">
        <f t="shared" ref="I96:S96" si="67">I94+I85</f>
        <v>314600</v>
      </c>
      <c r="J96" s="30">
        <f t="shared" si="67"/>
        <v>314600</v>
      </c>
      <c r="K96" s="30">
        <f t="shared" si="67"/>
        <v>314600</v>
      </c>
      <c r="L96" s="30">
        <f t="shared" si="67"/>
        <v>314600</v>
      </c>
      <c r="M96" s="30">
        <f t="shared" si="67"/>
        <v>314600</v>
      </c>
      <c r="N96" s="30">
        <f t="shared" si="67"/>
        <v>314600</v>
      </c>
      <c r="O96" s="30">
        <f t="shared" si="67"/>
        <v>314600</v>
      </c>
      <c r="P96" s="30">
        <f t="shared" si="67"/>
        <v>314600</v>
      </c>
      <c r="Q96" s="30">
        <f t="shared" si="67"/>
        <v>314600</v>
      </c>
      <c r="R96" s="30">
        <f t="shared" si="67"/>
        <v>314600</v>
      </c>
      <c r="S96" s="30">
        <f t="shared" si="67"/>
        <v>314600</v>
      </c>
    </row>
    <row r="97" spans="2:6" outlineLevel="2" x14ac:dyDescent="0.3"/>
    <row r="98" spans="2:6" outlineLevel="2" x14ac:dyDescent="0.3">
      <c r="B98" s="4" t="s">
        <v>44</v>
      </c>
      <c r="D98" s="117">
        <f>F107</f>
        <v>160000</v>
      </c>
    </row>
    <row r="99" spans="2:6" outlineLevel="2" x14ac:dyDescent="0.3"/>
    <row r="100" spans="2:6" outlineLevel="2" x14ac:dyDescent="0.3">
      <c r="B100" s="19" t="s">
        <v>92</v>
      </c>
      <c r="C100" s="20"/>
      <c r="D100" s="20"/>
      <c r="E100" s="21"/>
      <c r="F100" s="80">
        <f>F55</f>
        <v>320000</v>
      </c>
    </row>
    <row r="101" spans="2:6" outlineLevel="2" x14ac:dyDescent="0.3">
      <c r="B101" s="22" t="s">
        <v>46</v>
      </c>
      <c r="E101" s="17"/>
      <c r="F101" s="76">
        <f>40000*10</f>
        <v>400000</v>
      </c>
    </row>
    <row r="102" spans="2:6" outlineLevel="2" x14ac:dyDescent="0.3">
      <c r="B102" s="51" t="s">
        <v>90</v>
      </c>
      <c r="C102" s="44"/>
      <c r="D102" s="44"/>
      <c r="E102" s="47"/>
      <c r="F102" s="82">
        <f>SUM(F100:F101)</f>
        <v>720000</v>
      </c>
    </row>
    <row r="103" spans="2:6" outlineLevel="2" x14ac:dyDescent="0.3">
      <c r="B103" s="22"/>
      <c r="E103" s="17"/>
      <c r="F103" s="81"/>
    </row>
    <row r="104" spans="2:6" outlineLevel="2" x14ac:dyDescent="0.3">
      <c r="B104" s="22" t="s">
        <v>47</v>
      </c>
      <c r="E104" s="17"/>
      <c r="F104" s="23">
        <v>5</v>
      </c>
    </row>
    <row r="105" spans="2:6" outlineLevel="2" x14ac:dyDescent="0.3">
      <c r="B105" s="22" t="s">
        <v>44</v>
      </c>
      <c r="E105" s="17"/>
      <c r="F105" s="24">
        <f>F101/F104</f>
        <v>80000</v>
      </c>
    </row>
    <row r="106" spans="2:6" outlineLevel="2" x14ac:dyDescent="0.3">
      <c r="B106" s="22" t="s">
        <v>70</v>
      </c>
      <c r="E106" s="17"/>
      <c r="F106" s="24">
        <f>D47</f>
        <v>80000</v>
      </c>
    </row>
    <row r="107" spans="2:6" outlineLevel="2" x14ac:dyDescent="0.3">
      <c r="B107" s="77" t="s">
        <v>48</v>
      </c>
      <c r="C107" s="71"/>
      <c r="D107" s="71"/>
      <c r="E107" s="78"/>
      <c r="F107" s="79">
        <f>F105+F106</f>
        <v>160000</v>
      </c>
    </row>
    <row r="108" spans="2:6" outlineLevel="2" x14ac:dyDescent="0.3">
      <c r="B108" s="27" t="s">
        <v>91</v>
      </c>
      <c r="C108" s="49"/>
      <c r="D108" s="49"/>
      <c r="E108" s="50"/>
      <c r="F108" s="29">
        <f>F102-F107</f>
        <v>560000</v>
      </c>
    </row>
    <row r="109" spans="2:6" outlineLevel="2" x14ac:dyDescent="0.3"/>
  </sheetData>
  <mergeCells count="5">
    <mergeCell ref="P2:S3"/>
    <mergeCell ref="B2:H3"/>
    <mergeCell ref="B7:B8"/>
    <mergeCell ref="N2:N3"/>
    <mergeCell ref="B58:B5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C824-E04D-4505-BF82-524CD24614F6}">
  <sheetPr>
    <outlinePr summaryBelow="0"/>
  </sheetPr>
  <dimension ref="B1:T87"/>
  <sheetViews>
    <sheetView showGridLines="0" tabSelected="1" zoomScale="99" zoomScaleNormal="99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4" sqref="H14"/>
    </sheetView>
  </sheetViews>
  <sheetFormatPr defaultRowHeight="14.4" outlineLevelRow="1" x14ac:dyDescent="0.3"/>
  <cols>
    <col min="1" max="1" width="1.77734375" customWidth="1"/>
    <col min="2" max="2" width="9.77734375" bestFit="1" customWidth="1"/>
    <col min="4" max="4" width="14.77734375" bestFit="1" customWidth="1"/>
    <col min="5" max="5" width="12.6640625" customWidth="1"/>
    <col min="6" max="6" width="13.88671875" bestFit="1" customWidth="1"/>
    <col min="7" max="7" width="13.6640625" bestFit="1" customWidth="1"/>
    <col min="8" max="8" width="11.44140625" bestFit="1" customWidth="1"/>
    <col min="9" max="12" width="10" bestFit="1" customWidth="1"/>
    <col min="13" max="13" width="10" customWidth="1"/>
    <col min="14" max="14" width="12.33203125" bestFit="1" customWidth="1"/>
    <col min="15" max="15" width="13.88671875" bestFit="1" customWidth="1"/>
    <col min="16" max="16" width="10" bestFit="1" customWidth="1"/>
    <col min="17" max="20" width="11.33203125" bestFit="1" customWidth="1"/>
  </cols>
  <sheetData>
    <row r="1" spans="2:20" ht="7.5" customHeight="1" x14ac:dyDescent="0.3"/>
    <row r="2" spans="2:20" ht="14.4" customHeight="1" x14ac:dyDescent="0.3">
      <c r="B2" s="172" t="s">
        <v>0</v>
      </c>
      <c r="C2" s="172"/>
      <c r="D2" s="172"/>
      <c r="E2" s="172"/>
      <c r="F2" s="172"/>
      <c r="G2" s="172"/>
      <c r="H2" s="172"/>
      <c r="I2" s="1"/>
      <c r="J2" s="1"/>
      <c r="K2" s="175" t="s">
        <v>111</v>
      </c>
      <c r="L2" s="175"/>
      <c r="M2" s="175"/>
      <c r="N2" s="175"/>
      <c r="O2" s="163"/>
      <c r="T2" s="98" t="s">
        <v>49</v>
      </c>
    </row>
    <row r="3" spans="2:20" ht="14.4" customHeight="1" x14ac:dyDescent="0.3">
      <c r="B3" s="172"/>
      <c r="C3" s="172"/>
      <c r="D3" s="172"/>
      <c r="E3" s="172"/>
      <c r="F3" s="172"/>
      <c r="G3" s="172"/>
      <c r="H3" s="172"/>
      <c r="I3" s="1"/>
      <c r="J3" s="1"/>
      <c r="K3" s="175"/>
      <c r="L3" s="175"/>
      <c r="M3" s="175"/>
      <c r="N3" s="175"/>
      <c r="O3" s="163"/>
      <c r="T3" s="37"/>
    </row>
    <row r="5" spans="2:20" ht="14.4" customHeight="1" x14ac:dyDescent="0.3">
      <c r="B5" s="119" t="s">
        <v>112</v>
      </c>
    </row>
    <row r="6" spans="2:20" ht="14.4" customHeight="1" x14ac:dyDescent="0.3"/>
    <row r="7" spans="2:20" x14ac:dyDescent="0.3">
      <c r="B7" s="160" t="s">
        <v>119</v>
      </c>
      <c r="C7" s="161"/>
      <c r="D7" s="162">
        <v>45017</v>
      </c>
      <c r="J7" s="27" t="s">
        <v>190</v>
      </c>
      <c r="K7" s="49"/>
      <c r="L7" s="49"/>
      <c r="M7" s="50"/>
      <c r="N7" s="158" t="s">
        <v>155</v>
      </c>
    </row>
    <row r="8" spans="2:20" x14ac:dyDescent="0.3">
      <c r="B8" s="165"/>
      <c r="C8" s="166"/>
      <c r="D8" s="167"/>
      <c r="J8" s="22"/>
      <c r="M8" s="17"/>
      <c r="N8" s="17"/>
    </row>
    <row r="9" spans="2:20" x14ac:dyDescent="0.3">
      <c r="C9" s="166"/>
      <c r="D9" s="167"/>
      <c r="J9" s="22" t="s">
        <v>191</v>
      </c>
      <c r="M9" s="17"/>
      <c r="N9" s="24">
        <f>E80</f>
        <v>10000000</v>
      </c>
    </row>
    <row r="10" spans="2:20" x14ac:dyDescent="0.3">
      <c r="B10" t="s">
        <v>194</v>
      </c>
      <c r="C10" s="166"/>
      <c r="D10" s="167"/>
      <c r="J10" s="22" t="s">
        <v>121</v>
      </c>
      <c r="L10" s="119" t="s">
        <v>122</v>
      </c>
      <c r="M10" s="17"/>
      <c r="N10" s="24">
        <f>G35</f>
        <v>23576296.076778956</v>
      </c>
    </row>
    <row r="11" spans="2:20" x14ac:dyDescent="0.3">
      <c r="B11" t="s">
        <v>195</v>
      </c>
      <c r="C11" s="166"/>
      <c r="D11" s="167"/>
      <c r="J11" s="54" t="s">
        <v>192</v>
      </c>
      <c r="K11" s="16"/>
      <c r="L11" s="168" t="s">
        <v>160</v>
      </c>
      <c r="M11" s="55"/>
      <c r="N11" s="112">
        <f>E63</f>
        <v>86408170.134081781</v>
      </c>
    </row>
    <row r="12" spans="2:20" x14ac:dyDescent="0.3">
      <c r="B12" s="169" t="s">
        <v>193</v>
      </c>
      <c r="C12" s="166"/>
      <c r="D12" s="167"/>
      <c r="J12" s="25"/>
      <c r="K12" s="18"/>
      <c r="L12" s="18"/>
      <c r="M12" s="28"/>
      <c r="N12" s="28"/>
    </row>
    <row r="13" spans="2:20" x14ac:dyDescent="0.3">
      <c r="B13" s="165"/>
      <c r="C13" s="166"/>
      <c r="D13" s="167"/>
    </row>
    <row r="14" spans="2:20" ht="14.4" customHeight="1" x14ac:dyDescent="0.3"/>
    <row r="15" spans="2:20" ht="14.4" customHeight="1" x14ac:dyDescent="0.3">
      <c r="B15" s="180" t="s">
        <v>121</v>
      </c>
      <c r="S15" s="2"/>
      <c r="T15" s="2"/>
    </row>
    <row r="16" spans="2:20" x14ac:dyDescent="0.3">
      <c r="B16" s="181"/>
    </row>
    <row r="17" spans="2:20" ht="16.2" customHeight="1" outlineLevel="1" x14ac:dyDescent="0.3">
      <c r="B17" s="99"/>
    </row>
    <row r="18" spans="2:20" ht="16.2" outlineLevel="1" x14ac:dyDescent="0.3">
      <c r="B18" s="27" t="s">
        <v>125</v>
      </c>
      <c r="C18" s="18"/>
      <c r="D18" s="18"/>
      <c r="E18" s="28"/>
      <c r="F18" s="50">
        <v>2024</v>
      </c>
      <c r="G18" s="50">
        <v>2025</v>
      </c>
      <c r="J18" s="27" t="s">
        <v>126</v>
      </c>
      <c r="K18" s="18"/>
      <c r="L18" s="18"/>
      <c r="M18" s="18"/>
      <c r="N18" s="28"/>
      <c r="S18" s="33"/>
      <c r="T18" s="33"/>
    </row>
    <row r="19" spans="2:20" outlineLevel="1" x14ac:dyDescent="0.3">
      <c r="B19" s="52"/>
      <c r="E19" s="17"/>
      <c r="F19" s="17"/>
      <c r="G19" s="17"/>
      <c r="J19" s="22"/>
      <c r="M19" s="17"/>
      <c r="N19" s="17"/>
      <c r="S19" s="33"/>
      <c r="T19" s="33"/>
    </row>
    <row r="20" spans="2:20" outlineLevel="1" x14ac:dyDescent="0.3">
      <c r="B20" s="22"/>
      <c r="E20" s="17"/>
      <c r="F20" s="17"/>
      <c r="G20" s="17"/>
      <c r="J20" s="22" t="s">
        <v>127</v>
      </c>
      <c r="M20" s="17"/>
      <c r="N20" s="24">
        <f>G26</f>
        <v>5078280.4345739735</v>
      </c>
      <c r="S20" s="33"/>
      <c r="T20" s="33"/>
    </row>
    <row r="21" spans="2:20" outlineLevel="1" x14ac:dyDescent="0.3">
      <c r="B21" s="22" t="s">
        <v>103</v>
      </c>
      <c r="E21" s="17"/>
      <c r="F21" s="75">
        <f>'3 STATEMENT MODEL'!E74</f>
        <v>511804.46720026468</v>
      </c>
      <c r="G21" s="75">
        <f>'3 STATEMENT MODEL'!F74</f>
        <v>5478280.4345739735</v>
      </c>
      <c r="J21" s="22" t="s">
        <v>128</v>
      </c>
      <c r="M21" s="17"/>
      <c r="N21" s="150">
        <v>6.3E-2</v>
      </c>
      <c r="S21" s="33"/>
      <c r="T21" s="33"/>
    </row>
    <row r="22" spans="2:20" outlineLevel="1" x14ac:dyDescent="0.3">
      <c r="B22" s="22" t="s">
        <v>123</v>
      </c>
      <c r="E22" s="17"/>
      <c r="F22" s="75">
        <f>'LINE ITEMS'!F50</f>
        <v>400000</v>
      </c>
      <c r="G22" s="75">
        <f>'LINE ITEMS'!F101</f>
        <v>400000</v>
      </c>
      <c r="J22" s="147" t="s">
        <v>130</v>
      </c>
      <c r="M22" s="17"/>
      <c r="N22" s="17"/>
    </row>
    <row r="23" spans="2:20" outlineLevel="1" x14ac:dyDescent="0.3">
      <c r="B23" s="22" t="s">
        <v>124</v>
      </c>
      <c r="E23" s="17"/>
      <c r="F23" s="149">
        <v>0</v>
      </c>
      <c r="G23" s="149">
        <v>0</v>
      </c>
      <c r="J23" s="22" t="s">
        <v>131</v>
      </c>
      <c r="M23" s="17"/>
      <c r="N23" s="151">
        <f>N46</f>
        <v>0.23769999999999997</v>
      </c>
    </row>
    <row r="24" spans="2:20" outlineLevel="1" x14ac:dyDescent="0.3">
      <c r="B24" s="22"/>
      <c r="E24" s="17"/>
      <c r="F24" s="17"/>
      <c r="G24" s="17"/>
      <c r="J24" s="147" t="s">
        <v>148</v>
      </c>
      <c r="M24" s="17"/>
      <c r="N24" s="17"/>
    </row>
    <row r="25" spans="2:20" outlineLevel="1" x14ac:dyDescent="0.3">
      <c r="B25" s="54"/>
      <c r="C25" s="16"/>
      <c r="D25" s="16"/>
      <c r="E25" s="55"/>
      <c r="F25" s="55"/>
      <c r="G25" s="55"/>
      <c r="J25" s="22"/>
      <c r="M25" s="17"/>
      <c r="N25" s="17"/>
      <c r="S25" s="35"/>
      <c r="T25" s="35"/>
    </row>
    <row r="26" spans="2:20" outlineLevel="1" x14ac:dyDescent="0.3">
      <c r="B26" s="27" t="s">
        <v>122</v>
      </c>
      <c r="C26" s="49"/>
      <c r="D26" s="49"/>
      <c r="E26" s="28"/>
      <c r="F26" s="29">
        <f>F21-F22+F23</f>
        <v>111804.46720026468</v>
      </c>
      <c r="G26" s="29">
        <f>G21-G22+G23</f>
        <v>5078280.4345739735</v>
      </c>
      <c r="J26" s="27" t="s">
        <v>129</v>
      </c>
      <c r="K26" s="49"/>
      <c r="L26" s="49"/>
      <c r="M26" s="50"/>
      <c r="N26" s="29">
        <f>N20*(1+N21)/(N23-N21)</f>
        <v>30899897.549811877</v>
      </c>
      <c r="S26" s="35"/>
      <c r="T26" s="35"/>
    </row>
    <row r="27" spans="2:20" outlineLevel="1" x14ac:dyDescent="0.3">
      <c r="S27" s="36"/>
      <c r="T27" s="36"/>
    </row>
    <row r="28" spans="2:20" outlineLevel="1" x14ac:dyDescent="0.3">
      <c r="S28" s="3"/>
      <c r="T28" s="3"/>
    </row>
    <row r="29" spans="2:20" outlineLevel="1" x14ac:dyDescent="0.3">
      <c r="B29" s="26" t="s">
        <v>149</v>
      </c>
      <c r="C29" s="20"/>
      <c r="D29" s="20"/>
      <c r="E29" s="156" t="s">
        <v>150</v>
      </c>
      <c r="F29" s="157" t="s">
        <v>151</v>
      </c>
      <c r="G29" s="158" t="s">
        <v>129</v>
      </c>
      <c r="J29" s="26" t="s">
        <v>132</v>
      </c>
      <c r="K29" s="20"/>
      <c r="L29" s="20"/>
      <c r="M29" s="21"/>
      <c r="N29" s="21"/>
    </row>
    <row r="30" spans="2:20" outlineLevel="1" x14ac:dyDescent="0.3">
      <c r="B30" s="22"/>
      <c r="D30" s="17"/>
      <c r="G30" s="21"/>
      <c r="J30" s="154" t="s">
        <v>133</v>
      </c>
      <c r="K30" s="16"/>
      <c r="L30" s="16"/>
      <c r="M30" s="55"/>
      <c r="N30" s="55"/>
    </row>
    <row r="31" spans="2:20" outlineLevel="1" x14ac:dyDescent="0.3">
      <c r="B31" s="22" t="s">
        <v>122</v>
      </c>
      <c r="D31" s="17"/>
      <c r="E31" s="12">
        <f>F26</f>
        <v>111804.46720026468</v>
      </c>
      <c r="F31" s="12">
        <f>G26</f>
        <v>5078280.4345739735</v>
      </c>
      <c r="G31" s="24">
        <f>N26</f>
        <v>30899897.549811877</v>
      </c>
      <c r="J31" s="22"/>
      <c r="M31" s="17"/>
      <c r="N31" s="17"/>
      <c r="S31" s="35"/>
      <c r="T31" s="35"/>
    </row>
    <row r="32" spans="2:20" outlineLevel="1" x14ac:dyDescent="0.3">
      <c r="B32" s="22" t="s">
        <v>152</v>
      </c>
      <c r="D32" s="17"/>
      <c r="E32" s="12">
        <f>E31/(1+N46)</f>
        <v>90332.445019200677</v>
      </c>
      <c r="F32" s="12">
        <f>F31/(1+N46)^2</f>
        <v>3315018.0548343123</v>
      </c>
      <c r="G32" s="24">
        <f>G31/(1+N46)^2</f>
        <v>20170945.576925442</v>
      </c>
      <c r="J32" s="22" t="s">
        <v>134</v>
      </c>
      <c r="M32" s="17"/>
      <c r="N32" s="148">
        <f>6.38%</f>
        <v>6.3799999999999996E-2</v>
      </c>
      <c r="S32" s="35"/>
      <c r="T32" s="35"/>
    </row>
    <row r="33" spans="2:20" outlineLevel="1" x14ac:dyDescent="0.3">
      <c r="B33" s="147" t="s">
        <v>153</v>
      </c>
      <c r="D33" s="17"/>
      <c r="E33" s="155"/>
      <c r="G33" s="17"/>
      <c r="J33" s="147" t="s">
        <v>141</v>
      </c>
      <c r="M33" s="17"/>
      <c r="N33" s="149"/>
      <c r="S33" s="35"/>
      <c r="T33" s="35"/>
    </row>
    <row r="34" spans="2:20" outlineLevel="1" x14ac:dyDescent="0.3">
      <c r="B34" s="22"/>
      <c r="D34" s="17"/>
      <c r="G34" s="17"/>
      <c r="J34" s="22" t="s">
        <v>135</v>
      </c>
      <c r="M34" s="17"/>
      <c r="N34" s="149">
        <v>1</v>
      </c>
      <c r="S34" s="35"/>
      <c r="T34" s="35"/>
    </row>
    <row r="35" spans="2:20" outlineLevel="1" x14ac:dyDescent="0.3">
      <c r="B35" s="26" t="s">
        <v>155</v>
      </c>
      <c r="C35" s="100"/>
      <c r="D35" s="101"/>
      <c r="E35" s="100"/>
      <c r="F35" s="100"/>
      <c r="G35" s="159">
        <f>SUM(E32:G32)</f>
        <v>23576296.076778956</v>
      </c>
      <c r="J35" s="22" t="s">
        <v>136</v>
      </c>
      <c r="M35" s="17"/>
      <c r="N35" s="150">
        <v>0.11799999999999999</v>
      </c>
      <c r="S35" s="33"/>
      <c r="T35" s="33"/>
    </row>
    <row r="36" spans="2:20" outlineLevel="1" x14ac:dyDescent="0.3">
      <c r="B36" s="154" t="s">
        <v>154</v>
      </c>
      <c r="C36" s="16"/>
      <c r="D36" s="55"/>
      <c r="E36" s="16"/>
      <c r="F36" s="16"/>
      <c r="G36" s="55"/>
      <c r="J36" s="147" t="s">
        <v>142</v>
      </c>
      <c r="M36" s="17"/>
      <c r="N36" s="17"/>
      <c r="S36" s="33"/>
      <c r="T36" s="33"/>
    </row>
    <row r="37" spans="2:20" outlineLevel="1" x14ac:dyDescent="0.3">
      <c r="J37" s="22" t="s">
        <v>137</v>
      </c>
      <c r="M37" s="17"/>
      <c r="N37" s="151">
        <f>N35-N32</f>
        <v>5.4199999999999998E-2</v>
      </c>
      <c r="S37" s="3"/>
      <c r="T37" s="3"/>
    </row>
    <row r="38" spans="2:20" outlineLevel="1" x14ac:dyDescent="0.3">
      <c r="J38" s="147" t="s">
        <v>143</v>
      </c>
      <c r="M38" s="17"/>
      <c r="N38" s="17"/>
      <c r="S38" s="3"/>
      <c r="T38" s="3"/>
    </row>
    <row r="39" spans="2:20" outlineLevel="1" x14ac:dyDescent="0.3">
      <c r="J39" s="22" t="s">
        <v>138</v>
      </c>
      <c r="M39" s="17"/>
      <c r="N39" s="152">
        <v>0.05</v>
      </c>
    </row>
    <row r="40" spans="2:20" outlineLevel="1" x14ac:dyDescent="0.3">
      <c r="J40" s="147" t="s">
        <v>144</v>
      </c>
      <c r="M40" s="17"/>
      <c r="N40" s="149"/>
    </row>
    <row r="41" spans="2:20" outlineLevel="1" x14ac:dyDescent="0.3">
      <c r="J41" s="22" t="s">
        <v>139</v>
      </c>
      <c r="M41" s="17"/>
      <c r="N41" s="152">
        <v>0.03</v>
      </c>
    </row>
    <row r="42" spans="2:20" outlineLevel="1" x14ac:dyDescent="0.3">
      <c r="J42" s="147" t="s">
        <v>145</v>
      </c>
      <c r="M42" s="17"/>
      <c r="N42" s="149"/>
    </row>
    <row r="43" spans="2:20" outlineLevel="1" x14ac:dyDescent="0.3">
      <c r="J43" s="22" t="s">
        <v>140</v>
      </c>
      <c r="M43" s="17"/>
      <c r="N43" s="150">
        <v>3.9699999999999999E-2</v>
      </c>
      <c r="S43" s="35"/>
      <c r="T43" s="35"/>
    </row>
    <row r="44" spans="2:20" outlineLevel="1" x14ac:dyDescent="0.3">
      <c r="B44" s="119" t="s">
        <v>182</v>
      </c>
      <c r="C44" s="119"/>
      <c r="D44" s="119"/>
      <c r="E44" s="119"/>
      <c r="F44" s="119"/>
      <c r="G44" s="119"/>
      <c r="J44" s="147" t="s">
        <v>146</v>
      </c>
      <c r="M44" s="17"/>
      <c r="N44" s="17"/>
      <c r="S44" s="35"/>
      <c r="T44" s="35"/>
    </row>
    <row r="45" spans="2:20" outlineLevel="1" x14ac:dyDescent="0.3">
      <c r="B45" s="119" t="s">
        <v>184</v>
      </c>
      <c r="C45" s="119"/>
      <c r="D45" s="119"/>
      <c r="E45" s="119"/>
      <c r="F45" s="119"/>
      <c r="G45" s="119"/>
      <c r="J45" s="22"/>
      <c r="M45" s="17"/>
      <c r="N45" s="17"/>
      <c r="S45" s="35"/>
      <c r="T45" s="35"/>
    </row>
    <row r="46" spans="2:20" outlineLevel="1" x14ac:dyDescent="0.3">
      <c r="B46" s="119" t="s">
        <v>183</v>
      </c>
      <c r="C46" s="119"/>
      <c r="D46" s="119"/>
      <c r="E46" s="119"/>
      <c r="F46" s="119"/>
      <c r="G46" s="119"/>
      <c r="J46" s="27" t="s">
        <v>147</v>
      </c>
      <c r="K46" s="18"/>
      <c r="L46" s="18"/>
      <c r="M46" s="28"/>
      <c r="N46" s="153">
        <f>N32+N34*(N37)+N39+N41+N43</f>
        <v>0.23769999999999997</v>
      </c>
      <c r="S46" s="35"/>
      <c r="T46" s="35"/>
    </row>
    <row r="47" spans="2:20" x14ac:dyDescent="0.3">
      <c r="S47" s="35"/>
      <c r="T47" s="35"/>
    </row>
    <row r="48" spans="2:20" x14ac:dyDescent="0.3">
      <c r="S48" s="34"/>
      <c r="T48" s="34"/>
    </row>
    <row r="49" spans="2:20" x14ac:dyDescent="0.3">
      <c r="B49" s="179" t="s">
        <v>156</v>
      </c>
      <c r="C49" s="179"/>
      <c r="S49" s="34"/>
      <c r="T49" s="34"/>
    </row>
    <row r="50" spans="2:20" x14ac:dyDescent="0.3">
      <c r="B50" s="179"/>
      <c r="C50" s="179"/>
      <c r="S50" s="34"/>
      <c r="T50" s="34"/>
    </row>
    <row r="51" spans="2:20" outlineLevel="1" x14ac:dyDescent="0.3">
      <c r="S51" s="34"/>
      <c r="T51" s="34"/>
    </row>
    <row r="52" spans="2:20" outlineLevel="1" x14ac:dyDescent="0.3">
      <c r="B52" s="26" t="s">
        <v>159</v>
      </c>
      <c r="C52" s="100"/>
      <c r="D52" s="101"/>
      <c r="E52" s="164" t="s">
        <v>160</v>
      </c>
      <c r="K52" s="26" t="s">
        <v>180</v>
      </c>
      <c r="L52" s="20"/>
      <c r="M52" s="20"/>
      <c r="N52" s="21"/>
      <c r="S52" s="34"/>
      <c r="T52" s="34"/>
    </row>
    <row r="53" spans="2:20" outlineLevel="1" x14ac:dyDescent="0.3">
      <c r="B53" s="54"/>
      <c r="C53" s="16"/>
      <c r="D53" s="55"/>
      <c r="E53" s="55"/>
      <c r="K53" s="54"/>
      <c r="L53" s="16"/>
      <c r="M53" s="16"/>
      <c r="N53" s="55"/>
      <c r="S53" s="34"/>
      <c r="T53" s="34"/>
    </row>
    <row r="54" spans="2:20" outlineLevel="1" x14ac:dyDescent="0.3">
      <c r="B54" s="22" t="s">
        <v>157</v>
      </c>
      <c r="D54" s="21"/>
      <c r="E54" s="17">
        <f>N63</f>
        <v>7.7</v>
      </c>
      <c r="K54" s="27" t="s">
        <v>162</v>
      </c>
      <c r="L54" s="49"/>
      <c r="M54" s="50" t="s">
        <v>163</v>
      </c>
      <c r="N54" s="50" t="s">
        <v>160</v>
      </c>
    </row>
    <row r="55" spans="2:20" outlineLevel="1" x14ac:dyDescent="0.3">
      <c r="B55" s="22" t="s">
        <v>57</v>
      </c>
      <c r="D55" s="17"/>
      <c r="E55" s="75">
        <f>'3 STATEMENT MODEL'!F19</f>
        <v>15201269.401940174</v>
      </c>
      <c r="K55" s="22"/>
      <c r="L55" s="21"/>
      <c r="M55" s="17"/>
      <c r="N55" s="17"/>
    </row>
    <row r="56" spans="2:20" outlineLevel="1" x14ac:dyDescent="0.3">
      <c r="B56" s="147" t="s">
        <v>50</v>
      </c>
      <c r="D56" s="17"/>
      <c r="E56" s="17"/>
      <c r="K56" s="22" t="s">
        <v>161</v>
      </c>
      <c r="L56" s="17"/>
      <c r="M56" s="17" t="s">
        <v>168</v>
      </c>
      <c r="N56" s="17">
        <v>11.7</v>
      </c>
    </row>
    <row r="57" spans="2:20" outlineLevel="1" x14ac:dyDescent="0.3">
      <c r="B57" s="22" t="s">
        <v>179</v>
      </c>
      <c r="D57" s="17"/>
      <c r="E57" s="75">
        <f>E55/(1+N46)^2</f>
        <v>9923138.9784521796</v>
      </c>
      <c r="K57" s="22" t="s">
        <v>164</v>
      </c>
      <c r="L57" s="17"/>
      <c r="M57" s="17" t="s">
        <v>168</v>
      </c>
      <c r="N57" s="17">
        <v>7.7</v>
      </c>
    </row>
    <row r="58" spans="2:20" outlineLevel="1" x14ac:dyDescent="0.3">
      <c r="B58" s="27" t="s">
        <v>158</v>
      </c>
      <c r="C58" s="18"/>
      <c r="D58" s="28"/>
      <c r="E58" s="90">
        <f>E54*E57</f>
        <v>76408170.134081781</v>
      </c>
      <c r="K58" s="22" t="s">
        <v>165</v>
      </c>
      <c r="L58" s="17"/>
      <c r="M58" s="17" t="s">
        <v>168</v>
      </c>
      <c r="N58" s="17">
        <v>12.9</v>
      </c>
      <c r="S58" s="35"/>
      <c r="T58" s="35"/>
    </row>
    <row r="59" spans="2:20" outlineLevel="1" x14ac:dyDescent="0.3">
      <c r="K59" s="22" t="s">
        <v>166</v>
      </c>
      <c r="L59" s="17"/>
      <c r="M59" s="17" t="s">
        <v>169</v>
      </c>
      <c r="N59" s="17">
        <v>-1.4</v>
      </c>
      <c r="S59" s="35"/>
      <c r="T59" s="35"/>
    </row>
    <row r="60" spans="2:20" outlineLevel="1" x14ac:dyDescent="0.3">
      <c r="B60" s="26" t="s">
        <v>173</v>
      </c>
      <c r="C60" s="100"/>
      <c r="D60" s="21" t="s">
        <v>158</v>
      </c>
      <c r="E60" s="159">
        <f>E58</f>
        <v>76408170.134081781</v>
      </c>
      <c r="K60" s="22" t="s">
        <v>167</v>
      </c>
      <c r="L60" s="17"/>
      <c r="M60" s="17" t="s">
        <v>170</v>
      </c>
      <c r="N60" s="17">
        <v>3.4</v>
      </c>
      <c r="S60" s="35"/>
      <c r="T60" s="35"/>
    </row>
    <row r="61" spans="2:20" outlineLevel="1" x14ac:dyDescent="0.3">
      <c r="B61" s="52"/>
      <c r="C61" s="171" t="s">
        <v>174</v>
      </c>
      <c r="D61" s="17" t="s">
        <v>175</v>
      </c>
      <c r="E61" s="103">
        <v>0</v>
      </c>
      <c r="K61" s="22"/>
      <c r="L61" s="55"/>
      <c r="M61" s="55"/>
      <c r="N61" s="17"/>
      <c r="S61" s="35"/>
      <c r="T61" s="35"/>
    </row>
    <row r="62" spans="2:20" outlineLevel="1" x14ac:dyDescent="0.3">
      <c r="B62" s="52"/>
      <c r="C62" s="171" t="s">
        <v>176</v>
      </c>
      <c r="D62" s="17" t="s">
        <v>178</v>
      </c>
      <c r="E62" s="40">
        <v>10000000</v>
      </c>
      <c r="K62" s="27" t="s">
        <v>171</v>
      </c>
      <c r="L62" s="50"/>
      <c r="M62" s="50"/>
      <c r="N62" s="50">
        <f>AVERAGE(N56:N60)</f>
        <v>6.8599999999999994</v>
      </c>
      <c r="S62" s="35"/>
      <c r="T62" s="35"/>
    </row>
    <row r="63" spans="2:20" outlineLevel="1" x14ac:dyDescent="0.3">
      <c r="B63" s="25"/>
      <c r="C63" s="18"/>
      <c r="D63" s="28"/>
      <c r="E63" s="29">
        <f>E60-E61+E62</f>
        <v>86408170.134081781</v>
      </c>
      <c r="K63" s="104" t="s">
        <v>172</v>
      </c>
      <c r="L63" s="105"/>
      <c r="M63" s="105"/>
      <c r="N63" s="105">
        <f>MEDIAN(N56:N60)</f>
        <v>7.7</v>
      </c>
      <c r="S63" s="35"/>
      <c r="T63" s="35"/>
    </row>
    <row r="64" spans="2:20" x14ac:dyDescent="0.3">
      <c r="S64" s="35"/>
      <c r="T64" s="35"/>
    </row>
    <row r="65" spans="2:20" x14ac:dyDescent="0.3">
      <c r="S65" s="35"/>
      <c r="T65" s="35"/>
    </row>
    <row r="66" spans="2:20" x14ac:dyDescent="0.3">
      <c r="B66" s="180" t="s">
        <v>177</v>
      </c>
      <c r="C66" s="180"/>
      <c r="S66" s="35"/>
      <c r="T66" s="35"/>
    </row>
    <row r="67" spans="2:20" x14ac:dyDescent="0.3">
      <c r="B67" s="180"/>
      <c r="C67" s="180"/>
      <c r="S67" s="35"/>
      <c r="T67" s="35"/>
    </row>
    <row r="68" spans="2:20" outlineLevel="1" x14ac:dyDescent="0.3">
      <c r="S68" s="35"/>
      <c r="T68" s="35"/>
    </row>
    <row r="69" spans="2:20" outlineLevel="1" x14ac:dyDescent="0.3">
      <c r="B69" s="26" t="s">
        <v>181</v>
      </c>
      <c r="C69" s="20"/>
      <c r="D69" s="20"/>
      <c r="E69" s="21"/>
      <c r="S69" s="36"/>
      <c r="T69" s="36"/>
    </row>
    <row r="70" spans="2:20" outlineLevel="1" x14ac:dyDescent="0.3">
      <c r="B70" s="19"/>
      <c r="C70" s="20"/>
      <c r="D70" s="21"/>
      <c r="E70" s="21"/>
    </row>
    <row r="71" spans="2:20" outlineLevel="1" x14ac:dyDescent="0.3">
      <c r="B71" s="52" t="s">
        <v>185</v>
      </c>
      <c r="D71" s="17"/>
      <c r="E71" s="17"/>
      <c r="S71" s="34"/>
      <c r="T71" s="34"/>
    </row>
    <row r="72" spans="2:20" outlineLevel="1" x14ac:dyDescent="0.3">
      <c r="B72" s="22" t="s">
        <v>187</v>
      </c>
      <c r="D72" s="17"/>
      <c r="E72" s="75">
        <f>E78-E75</f>
        <v>9600000</v>
      </c>
    </row>
    <row r="73" spans="2:20" outlineLevel="1" x14ac:dyDescent="0.3">
      <c r="B73" s="22"/>
      <c r="D73" s="17"/>
      <c r="E73" s="75"/>
    </row>
    <row r="74" spans="2:20" outlineLevel="1" x14ac:dyDescent="0.3">
      <c r="B74" s="52" t="s">
        <v>186</v>
      </c>
      <c r="D74" s="17"/>
      <c r="E74" s="75"/>
    </row>
    <row r="75" spans="2:20" outlineLevel="1" x14ac:dyDescent="0.3">
      <c r="B75" s="22" t="s">
        <v>188</v>
      </c>
      <c r="D75" s="17"/>
      <c r="E75" s="75">
        <f>'LINE ITEMS'!F50</f>
        <v>400000</v>
      </c>
    </row>
    <row r="76" spans="2:20" outlineLevel="1" x14ac:dyDescent="0.3">
      <c r="B76" s="170" t="s">
        <v>196</v>
      </c>
      <c r="D76" s="17"/>
      <c r="E76" s="75"/>
    </row>
    <row r="77" spans="2:20" outlineLevel="1" x14ac:dyDescent="0.3">
      <c r="B77" s="22"/>
      <c r="D77" s="17"/>
      <c r="E77" s="75"/>
    </row>
    <row r="78" spans="2:20" outlineLevel="1" x14ac:dyDescent="0.3">
      <c r="B78" s="27" t="s">
        <v>79</v>
      </c>
      <c r="C78" s="18"/>
      <c r="D78" s="28"/>
      <c r="E78" s="90">
        <f>'3 STATEMENT MODEL'!E55</f>
        <v>10000000</v>
      </c>
    </row>
    <row r="79" spans="2:20" outlineLevel="1" x14ac:dyDescent="0.3">
      <c r="D79" s="17"/>
      <c r="E79" s="85"/>
    </row>
    <row r="80" spans="2:20" outlineLevel="1" x14ac:dyDescent="0.3">
      <c r="B80" s="27" t="s">
        <v>189</v>
      </c>
      <c r="C80" s="18"/>
      <c r="D80" s="28"/>
      <c r="E80" s="29">
        <f>E78</f>
        <v>10000000</v>
      </c>
    </row>
    <row r="86" ht="14.4" customHeight="1" x14ac:dyDescent="0.3"/>
    <row r="87" ht="14.4" customHeight="1" x14ac:dyDescent="0.3"/>
  </sheetData>
  <mergeCells count="5">
    <mergeCell ref="B49:C50"/>
    <mergeCell ref="B66:C67"/>
    <mergeCell ref="K2:N3"/>
    <mergeCell ref="B2:H3"/>
    <mergeCell ref="B15:B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STATEMENT MODEL</vt:lpstr>
      <vt:lpstr>LINE ITEMS</vt:lpstr>
      <vt:lpstr>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2025-06-21T12:26:33Z</dcterms:created>
  <dcterms:modified xsi:type="dcterms:W3CDTF">2025-06-25T16:31:02Z</dcterms:modified>
</cp:coreProperties>
</file>