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adminuser/Documents/Coding/TransitionZero/technology-data/inputs/"/>
    </mc:Choice>
  </mc:AlternateContent>
  <xr:revisionPtr revIDLastSave="0" documentId="8_{A0AD4FFC-88DB-E443-91D8-081DAAEB178A}" xr6:coauthVersionLast="47" xr6:coauthVersionMax="47" xr10:uidLastSave="{00000000-0000-0000-0000-000000000000}"/>
  <bookViews>
    <workbookView xWindow="0" yWindow="760" windowWidth="30240" windowHeight="17580" xr2:uid="{00000000-000D-0000-FFFF-FFFF00000000}"/>
  </bookViews>
  <sheets>
    <sheet name="Geothermal - large" sheetId="3" r:id="rId1"/>
    <sheet name="Geothermal - small" sheetId="5" r:id="rId2"/>
    <sheet name="Large hydro power plant" sheetId="7" r:id="rId3"/>
    <sheet name="Medium-small hydro power plant" sheetId="8" r:id="rId4"/>
    <sheet name="Mini-micro hydro power plant" sheetId="9" r:id="rId5"/>
    <sheet name="Hydro pumped storage" sheetId="10" r:id="rId6"/>
    <sheet name="Ground-mounted PV" sheetId="11" r:id="rId7"/>
    <sheet name="Rooftop PV" sheetId="12" r:id="rId8"/>
    <sheet name="Industrial PV" sheetId="13" r:id="rId9"/>
    <sheet name="Floating PV" sheetId="14" r:id="rId10"/>
    <sheet name="Wind Onshore" sheetId="15" r:id="rId11"/>
    <sheet name="Small wind onshore" sheetId="16" r:id="rId12"/>
    <sheet name="Wind Offshore" sheetId="17" r:id="rId13"/>
    <sheet name="Tidal Impoundment" sheetId="18" r:id="rId14"/>
    <sheet name="Tidal Stream" sheetId="19" r:id="rId15"/>
    <sheet name="Coal Subcritical" sheetId="21" r:id="rId16"/>
    <sheet name="Coal Supercritical" sheetId="22" r:id="rId17"/>
    <sheet name="Coal Ultra supercritical" sheetId="23" r:id="rId18"/>
    <sheet name="IGCC" sheetId="20" r:id="rId19"/>
    <sheet name="CCGT" sheetId="30" r:id="rId20"/>
    <sheet name="SCGT" sheetId="31" r:id="rId21"/>
    <sheet name="CCS - Supercritical coal" sheetId="24" r:id="rId22"/>
    <sheet name="CCS - CCGT" sheetId="25" r:id="rId23"/>
    <sheet name="CCS - IGCC" sheetId="26" r:id="rId24"/>
    <sheet name="Biomass power plant (small)" sheetId="27" r:id="rId25"/>
    <sheet name="Biogas power plant (small)" sheetId="28" r:id="rId26"/>
    <sheet name="MSW incineration" sheetId="32" r:id="rId27"/>
    <sheet name="Landfill" sheetId="33" r:id="rId28"/>
    <sheet name="Diesel power plant" sheetId="29" r:id="rId29"/>
    <sheet name="Batteries" sheetId="34" r:id="rId30"/>
  </sheets>
  <externalReferences>
    <externalReference r:id="rId31"/>
  </externalReferences>
  <definedNames>
    <definedName name="_Toc319151884" localSheetId="29">Batteries!$B$1</definedName>
    <definedName name="_Toc319151884" localSheetId="25">'Biogas power plant (small)'!$B$1</definedName>
    <definedName name="_Toc319151884" localSheetId="24">'Biomass power plant (small)'!$B$1</definedName>
    <definedName name="_Toc319151884" localSheetId="19">CCGT!$B$1</definedName>
    <definedName name="_Toc319151884" localSheetId="22">'CCS - CCGT'!$B$1</definedName>
    <definedName name="_Toc319151884" localSheetId="21">'CCS - Supercritical coal'!$B$1</definedName>
    <definedName name="_Toc319151884" localSheetId="15">'Coal Subcritical'!$B$1</definedName>
    <definedName name="_Toc319151884" localSheetId="16">'Coal Supercritical'!$B$1</definedName>
    <definedName name="_Toc319151884" localSheetId="17">'Coal Ultra supercritical'!$B$1</definedName>
    <definedName name="_Toc319151884" localSheetId="28">'Diesel power plant'!$B$1</definedName>
    <definedName name="_Toc319151884" localSheetId="9">'Floating PV'!$B$1</definedName>
    <definedName name="_Toc319151884" localSheetId="0">'Geothermal - large'!$B$1</definedName>
    <definedName name="_Toc319151884" localSheetId="1">'Geothermal - small'!$B$1</definedName>
    <definedName name="_Toc319151884" localSheetId="5">'Hydro pumped storage'!$B$1</definedName>
    <definedName name="_Toc319151884" localSheetId="8">'Industrial PV'!$B$1</definedName>
    <definedName name="_Toc319151884" localSheetId="27">Landfill!$B$1</definedName>
    <definedName name="_Toc319151884" localSheetId="2">'Large hydro power plant'!$B$1</definedName>
    <definedName name="_Toc319151884" localSheetId="3">'Medium-small hydro power plant'!$B$1</definedName>
    <definedName name="_Toc319151884" localSheetId="4">'Mini-micro hydro power plant'!$B$1</definedName>
    <definedName name="_Toc319151884" localSheetId="26">'MSW incineration'!$B$1</definedName>
    <definedName name="_Toc319151884" localSheetId="7">'Rooftop PV'!$B$1</definedName>
    <definedName name="_Toc319151884" localSheetId="20">SCGT!$B$1</definedName>
    <definedName name="_Toc319151884" localSheetId="11">'Small wind onshore'!$B$1</definedName>
    <definedName name="_Toc319151884" localSheetId="13">'Tidal Impoundment'!$B$1</definedName>
    <definedName name="_Toc319151884" localSheetId="14">'Tidal Stream'!$B$1</definedName>
    <definedName name="_Toc319151884" localSheetId="12">'Wind Offshore'!$B$1</definedName>
    <definedName name="_Toc319151884" localSheetId="10">'Wind Onshore'!$B$1</definedName>
    <definedName name="_Toc423599101" localSheetId="29">Batteries!$B$18</definedName>
    <definedName name="_Toc423599101" localSheetId="25">'Biogas power plant (small)'!$B$18</definedName>
    <definedName name="_Toc423599101" localSheetId="24">'Biomass power plant (small)'!$B$18</definedName>
    <definedName name="_Toc423599101" localSheetId="19">CCGT!$B$18</definedName>
    <definedName name="_Toc423599101" localSheetId="22">'CCS - CCGT'!$B$19</definedName>
    <definedName name="_Toc423599101" localSheetId="21">'CCS - Supercritical coal'!$B$19</definedName>
    <definedName name="_Toc423599101" localSheetId="15">'Coal Subcritical'!$B$18</definedName>
    <definedName name="_Toc423599101" localSheetId="16">'Coal Supercritical'!$B$18</definedName>
    <definedName name="_Toc423599101" localSheetId="17">'Coal Ultra supercritical'!$B$18</definedName>
    <definedName name="_Toc423599101" localSheetId="28">'Diesel power plant'!$B$18</definedName>
    <definedName name="_Toc423599101" localSheetId="9">'Floating PV'!$B$17</definedName>
    <definedName name="_Toc423599101" localSheetId="0">'Geothermal - large'!$B$18</definedName>
    <definedName name="_Toc423599101" localSheetId="1">'Geothermal - small'!$B$18</definedName>
    <definedName name="_Toc423599101" localSheetId="5">'Hydro pumped storage'!$B$18</definedName>
    <definedName name="_Toc423599101" localSheetId="8">'Industrial PV'!$B$17</definedName>
    <definedName name="_Toc423599101" localSheetId="27">Landfill!$B$18</definedName>
    <definedName name="_Toc423599101" localSheetId="2">'Large hydro power plant'!$B$18</definedName>
    <definedName name="_Toc423599101" localSheetId="3">'Medium-small hydro power plant'!$B$18</definedName>
    <definedName name="_Toc423599101" localSheetId="4">'Mini-micro hydro power plant'!$B$18</definedName>
    <definedName name="_Toc423599101" localSheetId="26">'MSW incineration'!$B$18</definedName>
    <definedName name="_Toc423599101" localSheetId="7">'Rooftop PV'!$B$17</definedName>
    <definedName name="_Toc423599101" localSheetId="20">SCGT!$B$18</definedName>
    <definedName name="_Toc423599101" localSheetId="11">'Small wind onshore'!$B$18</definedName>
    <definedName name="_Toc423599101" localSheetId="13">'Tidal Impoundment'!$B$18</definedName>
    <definedName name="_Toc423599101" localSheetId="14">'Tidal Stream'!$B$18</definedName>
    <definedName name="_Toc423599101" localSheetId="12">'Wind Offshore'!$B$18</definedName>
    <definedName name="_Toc423599101" localSheetId="10">'Wind Onshore'!$B$18</definedName>
    <definedName name="eurdkk" localSheetId="3">[1]Constants!$C$3</definedName>
    <definedName name="eurdkk">[1]Constants!$C$3</definedName>
    <definedName name="_xlnm.Print_Area" localSheetId="29">Batteries!$A$1:$K$44</definedName>
    <definedName name="_xlnm.Print_Area" localSheetId="25">'Biogas power plant (small)'!$A$1:$K$50</definedName>
    <definedName name="_xlnm.Print_Area" localSheetId="24">'Biomass power plant (small)'!$A$1:$K$49</definedName>
    <definedName name="_xlnm.Print_Area" localSheetId="19">CCGT!$A$1:$K$48</definedName>
    <definedName name="_xlnm.Print_Area" localSheetId="22">'CCS - CCGT'!$A$1:$K$50</definedName>
    <definedName name="_xlnm.Print_Area" localSheetId="21">'CCS - Supercritical coal'!$A$1:$K$48</definedName>
    <definedName name="_xlnm.Print_Area" localSheetId="15">'Coal Subcritical'!$A$1:$K$43</definedName>
    <definedName name="_xlnm.Print_Area" localSheetId="16">'Coal Supercritical'!$A$1:$K$45</definedName>
    <definedName name="_xlnm.Print_Area" localSheetId="17">'Coal Ultra supercritical'!$A$1:$K$45</definedName>
    <definedName name="_xlnm.Print_Area" localSheetId="28">'Diesel power plant'!$A$1:$K$46</definedName>
    <definedName name="_xlnm.Print_Area" localSheetId="9">'Floating PV'!$A$1:$K$62</definedName>
    <definedName name="_xlnm.Print_Area" localSheetId="0">'Geothermal - large'!$A$1:$K$49</definedName>
    <definedName name="_xlnm.Print_Area" localSheetId="1">'Geothermal - small'!$A$1:$K$49</definedName>
    <definedName name="_xlnm.Print_Area" localSheetId="5">'Hydro pumped storage'!$A$1:$K$48</definedName>
    <definedName name="_xlnm.Print_Area" localSheetId="8">'Industrial PV'!$A$1:$K$61</definedName>
    <definedName name="_xlnm.Print_Area" localSheetId="27">Landfill!$A$1:$K$45</definedName>
    <definedName name="_xlnm.Print_Area" localSheetId="2">'Large hydro power plant'!$A$1:$K$50</definedName>
    <definedName name="_xlnm.Print_Area" localSheetId="3">'Medium-small hydro power plant'!$A$1:$K$47</definedName>
    <definedName name="_xlnm.Print_Area" localSheetId="4">'Mini-micro hydro power plant'!$A$1:$K$48</definedName>
    <definedName name="_xlnm.Print_Area" localSheetId="26">'MSW incineration'!$A$1:$K$42</definedName>
    <definedName name="_xlnm.Print_Area" localSheetId="7">'Rooftop PV'!$A$1:$K$61</definedName>
    <definedName name="_xlnm.Print_Area" localSheetId="20">SCGT!$A$1:$K$46</definedName>
    <definedName name="_xlnm.Print_Area" localSheetId="11">'Small wind onshore'!$A$1:$K$44</definedName>
    <definedName name="_xlnm.Print_Area" localSheetId="13">'Tidal Impoundment'!$A$1:$K$45</definedName>
    <definedName name="_xlnm.Print_Area" localSheetId="14">'Tidal Stream'!$A$1:$K$46</definedName>
    <definedName name="_xlnm.Print_Area" localSheetId="12">'Wind Offshore'!$A$1:$K$42</definedName>
    <definedName name="_xlnm.Print_Area" localSheetId="10">'Wind Onshore'!$A$1:$K$43</definedName>
    <definedName name="Z_FBE4F0C3_CBBF_4CF0_8D5E_05EE5C056A7A_.wvu.Cols" localSheetId="29" hidden="1">Batteries!#REF!</definedName>
    <definedName name="Z_FBE4F0C3_CBBF_4CF0_8D5E_05EE5C056A7A_.wvu.Cols" localSheetId="25" hidden="1">'Biogas power plant (small)'!#REF!</definedName>
    <definedName name="Z_FBE4F0C3_CBBF_4CF0_8D5E_05EE5C056A7A_.wvu.Cols" localSheetId="24" hidden="1">'Biomass power plant (small)'!#REF!</definedName>
    <definedName name="Z_FBE4F0C3_CBBF_4CF0_8D5E_05EE5C056A7A_.wvu.Cols" localSheetId="19" hidden="1">CCGT!#REF!</definedName>
    <definedName name="Z_FBE4F0C3_CBBF_4CF0_8D5E_05EE5C056A7A_.wvu.Cols" localSheetId="22" hidden="1">'CCS - CCGT'!#REF!</definedName>
    <definedName name="Z_FBE4F0C3_CBBF_4CF0_8D5E_05EE5C056A7A_.wvu.Cols" localSheetId="21" hidden="1">'CCS - Supercritical coal'!#REF!</definedName>
    <definedName name="Z_FBE4F0C3_CBBF_4CF0_8D5E_05EE5C056A7A_.wvu.Cols" localSheetId="15" hidden="1">'Coal Subcritical'!#REF!</definedName>
    <definedName name="Z_FBE4F0C3_CBBF_4CF0_8D5E_05EE5C056A7A_.wvu.Cols" localSheetId="16" hidden="1">'Coal Supercritical'!#REF!</definedName>
    <definedName name="Z_FBE4F0C3_CBBF_4CF0_8D5E_05EE5C056A7A_.wvu.Cols" localSheetId="17" hidden="1">'Coal Ultra supercritical'!#REF!</definedName>
    <definedName name="Z_FBE4F0C3_CBBF_4CF0_8D5E_05EE5C056A7A_.wvu.Cols" localSheetId="28" hidden="1">'Diesel power plant'!#REF!</definedName>
    <definedName name="Z_FBE4F0C3_CBBF_4CF0_8D5E_05EE5C056A7A_.wvu.Cols" localSheetId="9" hidden="1">'Floating PV'!#REF!</definedName>
    <definedName name="Z_FBE4F0C3_CBBF_4CF0_8D5E_05EE5C056A7A_.wvu.Cols" localSheetId="0" hidden="1">'Geothermal - large'!#REF!</definedName>
    <definedName name="Z_FBE4F0C3_CBBF_4CF0_8D5E_05EE5C056A7A_.wvu.Cols" localSheetId="1" hidden="1">'Geothermal - small'!#REF!</definedName>
    <definedName name="Z_FBE4F0C3_CBBF_4CF0_8D5E_05EE5C056A7A_.wvu.Cols" localSheetId="5" hidden="1">'Hydro pumped storage'!#REF!</definedName>
    <definedName name="Z_FBE4F0C3_CBBF_4CF0_8D5E_05EE5C056A7A_.wvu.Cols" localSheetId="8" hidden="1">'Industrial PV'!#REF!</definedName>
    <definedName name="Z_FBE4F0C3_CBBF_4CF0_8D5E_05EE5C056A7A_.wvu.Cols" localSheetId="27" hidden="1">Landfill!#REF!</definedName>
    <definedName name="Z_FBE4F0C3_CBBF_4CF0_8D5E_05EE5C056A7A_.wvu.Cols" localSheetId="2" hidden="1">'Large hydro power plant'!#REF!</definedName>
    <definedName name="Z_FBE4F0C3_CBBF_4CF0_8D5E_05EE5C056A7A_.wvu.Cols" localSheetId="3" hidden="1">'Medium-small hydro power plant'!#REF!</definedName>
    <definedName name="Z_FBE4F0C3_CBBF_4CF0_8D5E_05EE5C056A7A_.wvu.Cols" localSheetId="4" hidden="1">'Mini-micro hydro power plant'!#REF!</definedName>
    <definedName name="Z_FBE4F0C3_CBBF_4CF0_8D5E_05EE5C056A7A_.wvu.Cols" localSheetId="26" hidden="1">'MSW incineration'!#REF!</definedName>
    <definedName name="Z_FBE4F0C3_CBBF_4CF0_8D5E_05EE5C056A7A_.wvu.Cols" localSheetId="7" hidden="1">'Rooftop PV'!#REF!</definedName>
    <definedName name="Z_FBE4F0C3_CBBF_4CF0_8D5E_05EE5C056A7A_.wvu.Cols" localSheetId="20" hidden="1">SCGT!#REF!</definedName>
    <definedName name="Z_FBE4F0C3_CBBF_4CF0_8D5E_05EE5C056A7A_.wvu.Cols" localSheetId="11" hidden="1">'Small wind onshore'!#REF!</definedName>
    <definedName name="Z_FBE4F0C3_CBBF_4CF0_8D5E_05EE5C056A7A_.wvu.Cols" localSheetId="13" hidden="1">'Tidal Impoundment'!#REF!</definedName>
    <definedName name="Z_FBE4F0C3_CBBF_4CF0_8D5E_05EE5C056A7A_.wvu.Cols" localSheetId="14" hidden="1">'Tidal Stream'!#REF!</definedName>
    <definedName name="Z_FBE4F0C3_CBBF_4CF0_8D5E_05EE5C056A7A_.wvu.Cols" localSheetId="12" hidden="1">'Wind Offshore'!#REF!</definedName>
    <definedName name="Z_FBE4F0C3_CBBF_4CF0_8D5E_05EE5C056A7A_.wvu.Cols" localSheetId="10" hidden="1">'Wind Onshore'!#REF!</definedName>
    <definedName name="Z_FBE4F0C3_CBBF_4CF0_8D5E_05EE5C056A7A_.wvu.PrintArea" localSheetId="29" hidden="1">Batteries!$A$1:$K$30</definedName>
    <definedName name="Z_FBE4F0C3_CBBF_4CF0_8D5E_05EE5C056A7A_.wvu.PrintArea" localSheetId="25" hidden="1">'Biogas power plant (small)'!$A$1:$K$37</definedName>
    <definedName name="Z_FBE4F0C3_CBBF_4CF0_8D5E_05EE5C056A7A_.wvu.PrintArea" localSheetId="24" hidden="1">'Biomass power plant (small)'!$A$1:$K$37</definedName>
    <definedName name="Z_FBE4F0C3_CBBF_4CF0_8D5E_05EE5C056A7A_.wvu.PrintArea" localSheetId="19" hidden="1">CCGT!$A$1:$K$37</definedName>
    <definedName name="Z_FBE4F0C3_CBBF_4CF0_8D5E_05EE5C056A7A_.wvu.PrintArea" localSheetId="22" hidden="1">'CCS - CCGT'!$A$1:$K$37</definedName>
    <definedName name="Z_FBE4F0C3_CBBF_4CF0_8D5E_05EE5C056A7A_.wvu.PrintArea" localSheetId="21" hidden="1">'CCS - Supercritical coal'!$A$1:$K$37</definedName>
    <definedName name="Z_FBE4F0C3_CBBF_4CF0_8D5E_05EE5C056A7A_.wvu.PrintArea" localSheetId="15" hidden="1">'Coal Subcritical'!$A$1:$K$37</definedName>
    <definedName name="Z_FBE4F0C3_CBBF_4CF0_8D5E_05EE5C056A7A_.wvu.PrintArea" localSheetId="16" hidden="1">'Coal Supercritical'!$A$1:$K$37</definedName>
    <definedName name="Z_FBE4F0C3_CBBF_4CF0_8D5E_05EE5C056A7A_.wvu.PrintArea" localSheetId="17" hidden="1">'Coal Ultra supercritical'!$A$1:$K$37</definedName>
    <definedName name="Z_FBE4F0C3_CBBF_4CF0_8D5E_05EE5C056A7A_.wvu.PrintArea" localSheetId="28" hidden="1">'Diesel power plant'!$A$1:$K$38</definedName>
    <definedName name="Z_FBE4F0C3_CBBF_4CF0_8D5E_05EE5C056A7A_.wvu.PrintArea" localSheetId="9" hidden="1">'Floating PV'!$A$1:$K$51</definedName>
    <definedName name="Z_FBE4F0C3_CBBF_4CF0_8D5E_05EE5C056A7A_.wvu.PrintArea" localSheetId="0" hidden="1">'Geothermal - large'!$A$1:$K$40</definedName>
    <definedName name="Z_FBE4F0C3_CBBF_4CF0_8D5E_05EE5C056A7A_.wvu.PrintArea" localSheetId="1" hidden="1">'Geothermal - small'!$A$1:$K$40</definedName>
    <definedName name="Z_FBE4F0C3_CBBF_4CF0_8D5E_05EE5C056A7A_.wvu.PrintArea" localSheetId="5" hidden="1">'Hydro pumped storage'!$A$1:$K$40</definedName>
    <definedName name="Z_FBE4F0C3_CBBF_4CF0_8D5E_05EE5C056A7A_.wvu.PrintArea" localSheetId="8" hidden="1">'Industrial PV'!$A$1:$K$51</definedName>
    <definedName name="Z_FBE4F0C3_CBBF_4CF0_8D5E_05EE5C056A7A_.wvu.PrintArea" localSheetId="27" hidden="1">Landfill!$A$1:$K$39</definedName>
    <definedName name="Z_FBE4F0C3_CBBF_4CF0_8D5E_05EE5C056A7A_.wvu.PrintArea" localSheetId="2" hidden="1">'Large hydro power plant'!$A$1:$K$37</definedName>
    <definedName name="Z_FBE4F0C3_CBBF_4CF0_8D5E_05EE5C056A7A_.wvu.PrintArea" localSheetId="3" hidden="1">'Medium-small hydro power plant'!$A$1:$K$37</definedName>
    <definedName name="Z_FBE4F0C3_CBBF_4CF0_8D5E_05EE5C056A7A_.wvu.PrintArea" localSheetId="4" hidden="1">'Mini-micro hydro power plant'!$A$1:$K$37</definedName>
    <definedName name="Z_FBE4F0C3_CBBF_4CF0_8D5E_05EE5C056A7A_.wvu.PrintArea" localSheetId="26" hidden="1">'MSW incineration'!$A$1:$K$40</definedName>
    <definedName name="Z_FBE4F0C3_CBBF_4CF0_8D5E_05EE5C056A7A_.wvu.PrintArea" localSheetId="7" hidden="1">'Rooftop PV'!$A$1:$K$51</definedName>
    <definedName name="Z_FBE4F0C3_CBBF_4CF0_8D5E_05EE5C056A7A_.wvu.PrintArea" localSheetId="20" hidden="1">SCGT!$A$1:$K$37</definedName>
    <definedName name="Z_FBE4F0C3_CBBF_4CF0_8D5E_05EE5C056A7A_.wvu.PrintArea" localSheetId="11" hidden="1">'Small wind onshore'!$A$1:$K$37</definedName>
    <definedName name="Z_FBE4F0C3_CBBF_4CF0_8D5E_05EE5C056A7A_.wvu.PrintArea" localSheetId="13" hidden="1">'Tidal Impoundment'!$A$1:$K$39</definedName>
    <definedName name="Z_FBE4F0C3_CBBF_4CF0_8D5E_05EE5C056A7A_.wvu.PrintArea" localSheetId="14" hidden="1">'Tidal Stream'!$A$1:$K$39</definedName>
    <definedName name="Z_FBE4F0C3_CBBF_4CF0_8D5E_05EE5C056A7A_.wvu.PrintArea" localSheetId="12" hidden="1">'Wind Offshore'!$A$1:$K$37</definedName>
    <definedName name="Z_FBE4F0C3_CBBF_4CF0_8D5E_05EE5C056A7A_.wvu.PrintArea" localSheetId="10" hidden="1">'Wind Onshore'!$A$1:$K$37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4" l="1"/>
  <c r="E8" i="34"/>
  <c r="E21" i="34" s="1"/>
  <c r="D8" i="34"/>
  <c r="C8" i="34"/>
  <c r="E25" i="34" s="1"/>
  <c r="I34" i="33"/>
  <c r="H34" i="33"/>
  <c r="G34" i="33"/>
  <c r="F34" i="33"/>
  <c r="I33" i="33"/>
  <c r="H33" i="33"/>
  <c r="G33" i="33"/>
  <c r="F33" i="33"/>
  <c r="F32" i="33"/>
  <c r="C32" i="33"/>
  <c r="G32" i="33" s="1"/>
  <c r="F31" i="33"/>
  <c r="E31" i="33"/>
  <c r="E32" i="33" s="1"/>
  <c r="D31" i="33"/>
  <c r="D32" i="33" s="1"/>
  <c r="C31" i="33"/>
  <c r="G31" i="33" s="1"/>
  <c r="I30" i="33"/>
  <c r="H30" i="33"/>
  <c r="G30" i="33"/>
  <c r="F30" i="33"/>
  <c r="C33" i="32"/>
  <c r="F33" i="32" s="1"/>
  <c r="F32" i="32"/>
  <c r="C32" i="32"/>
  <c r="F31" i="32"/>
  <c r="E31" i="32"/>
  <c r="H31" i="32" s="1"/>
  <c r="C31" i="32"/>
  <c r="H30" i="32"/>
  <c r="F30" i="32"/>
  <c r="E30" i="32"/>
  <c r="E32" i="32" s="1"/>
  <c r="D30" i="32"/>
  <c r="D31" i="32" s="1"/>
  <c r="I22" i="32"/>
  <c r="H22" i="32"/>
  <c r="G22" i="32"/>
  <c r="F22" i="32"/>
  <c r="I21" i="32"/>
  <c r="H21" i="32"/>
  <c r="G21" i="32"/>
  <c r="F21" i="32"/>
  <c r="I20" i="32"/>
  <c r="H20" i="32"/>
  <c r="G20" i="32"/>
  <c r="F20" i="32"/>
  <c r="I19" i="32"/>
  <c r="H19" i="32"/>
  <c r="G19" i="32"/>
  <c r="F19" i="32"/>
  <c r="G9" i="32"/>
  <c r="F9" i="32"/>
  <c r="E9" i="32"/>
  <c r="D9" i="32"/>
  <c r="C9" i="32"/>
  <c r="I8" i="32"/>
  <c r="I9" i="32" s="1"/>
  <c r="H8" i="32"/>
  <c r="H9" i="32" s="1"/>
  <c r="G8" i="32"/>
  <c r="F8" i="32"/>
  <c r="E7" i="32"/>
  <c r="E6" i="32"/>
  <c r="E33" i="32" s="1"/>
  <c r="D6" i="32"/>
  <c r="D7" i="32" s="1"/>
  <c r="C6" i="32"/>
  <c r="C34" i="32" s="1"/>
  <c r="I35" i="31"/>
  <c r="H35" i="31"/>
  <c r="G35" i="31"/>
  <c r="F35" i="31"/>
  <c r="G33" i="31"/>
  <c r="F33" i="31"/>
  <c r="E33" i="31"/>
  <c r="I33" i="31" s="1"/>
  <c r="D33" i="31"/>
  <c r="E30" i="31"/>
  <c r="D30" i="31"/>
  <c r="C26" i="31"/>
  <c r="I14" i="31"/>
  <c r="H14" i="31"/>
  <c r="G14" i="31"/>
  <c r="F14" i="31"/>
  <c r="I13" i="31"/>
  <c r="H13" i="31"/>
  <c r="G13" i="31"/>
  <c r="F13" i="31"/>
  <c r="E9" i="31"/>
  <c r="D9" i="31"/>
  <c r="C9" i="31"/>
  <c r="I35" i="30"/>
  <c r="H35" i="30"/>
  <c r="G35" i="30"/>
  <c r="F35" i="30"/>
  <c r="G34" i="30"/>
  <c r="F34" i="30"/>
  <c r="E34" i="30"/>
  <c r="I34" i="30" s="1"/>
  <c r="D34" i="30"/>
  <c r="H33" i="30"/>
  <c r="G33" i="30"/>
  <c r="F33" i="30"/>
  <c r="E33" i="30"/>
  <c r="I33" i="30" s="1"/>
  <c r="D33" i="30"/>
  <c r="E30" i="30"/>
  <c r="D30" i="30"/>
  <c r="C26" i="30"/>
  <c r="D34" i="29"/>
  <c r="C34" i="29"/>
  <c r="E31" i="29"/>
  <c r="E34" i="29" s="1"/>
  <c r="E27" i="29"/>
  <c r="D27" i="29"/>
  <c r="C27" i="29"/>
  <c r="E26" i="29"/>
  <c r="D26" i="29"/>
  <c r="C26" i="29"/>
  <c r="E24" i="29"/>
  <c r="D24" i="29"/>
  <c r="C24" i="29"/>
  <c r="H34" i="28"/>
  <c r="G34" i="28"/>
  <c r="F34" i="28"/>
  <c r="E34" i="28"/>
  <c r="I34" i="28" s="1"/>
  <c r="D34" i="28"/>
  <c r="H33" i="28"/>
  <c r="G33" i="28"/>
  <c r="F33" i="28"/>
  <c r="E33" i="28"/>
  <c r="I33" i="28" s="1"/>
  <c r="D33" i="28"/>
  <c r="E30" i="28"/>
  <c r="I30" i="28" s="1"/>
  <c r="D30" i="28"/>
  <c r="H34" i="27"/>
  <c r="G34" i="27"/>
  <c r="F34" i="27"/>
  <c r="E34" i="27"/>
  <c r="I34" i="27" s="1"/>
  <c r="D34" i="27"/>
  <c r="H33" i="27"/>
  <c r="G33" i="27"/>
  <c r="F33" i="27"/>
  <c r="E33" i="27"/>
  <c r="I33" i="27" s="1"/>
  <c r="D33" i="27"/>
  <c r="E30" i="27"/>
  <c r="I30" i="27" s="1"/>
  <c r="D30" i="27"/>
  <c r="I14" i="27"/>
  <c r="H14" i="27"/>
  <c r="G14" i="27"/>
  <c r="F14" i="27"/>
  <c r="I13" i="27"/>
  <c r="H13" i="27"/>
  <c r="G13" i="27"/>
  <c r="F13" i="27"/>
  <c r="I12" i="27"/>
  <c r="H12" i="27"/>
  <c r="G12" i="27"/>
  <c r="F12" i="27"/>
  <c r="I11" i="27"/>
  <c r="H11" i="27"/>
  <c r="G11" i="27"/>
  <c r="F11" i="27"/>
  <c r="I10" i="27"/>
  <c r="H10" i="27"/>
  <c r="G10" i="27"/>
  <c r="F10" i="27"/>
  <c r="E9" i="27"/>
  <c r="D9" i="27"/>
  <c r="C9" i="27"/>
  <c r="C7" i="27"/>
  <c r="D6" i="27"/>
  <c r="D7" i="27" s="1"/>
  <c r="D25" i="34" l="1"/>
  <c r="C21" i="34"/>
  <c r="H33" i="32"/>
  <c r="I33" i="32"/>
  <c r="I32" i="32"/>
  <c r="H32" i="32"/>
  <c r="G32" i="32"/>
  <c r="I32" i="33"/>
  <c r="H32" i="33"/>
  <c r="G34" i="32"/>
  <c r="F34" i="32"/>
  <c r="I31" i="32"/>
  <c r="I30" i="32"/>
  <c r="D33" i="32"/>
  <c r="E34" i="32"/>
  <c r="C7" i="32"/>
  <c r="G31" i="32"/>
  <c r="D32" i="32"/>
  <c r="G33" i="32"/>
  <c r="D34" i="32"/>
  <c r="I31" i="33"/>
  <c r="G30" i="32"/>
  <c r="H31" i="33"/>
  <c r="H34" i="30"/>
  <c r="H33" i="31"/>
  <c r="H30" i="27"/>
  <c r="H30" i="28"/>
  <c r="E6" i="27"/>
  <c r="E7" i="27" s="1"/>
  <c r="H34" i="32" l="1"/>
  <c r="I34" i="32"/>
  <c r="H65" i="26" l="1"/>
  <c r="H67" i="26" s="1"/>
  <c r="G65" i="26"/>
  <c r="G35" i="26"/>
  <c r="F35" i="26"/>
  <c r="E35" i="26"/>
  <c r="H35" i="26" s="1"/>
  <c r="D35" i="26"/>
  <c r="F34" i="26"/>
  <c r="E34" i="26"/>
  <c r="H34" i="26" s="1"/>
  <c r="D34" i="26"/>
  <c r="H31" i="26"/>
  <c r="G31" i="26"/>
  <c r="F31" i="26"/>
  <c r="E31" i="26"/>
  <c r="I31" i="26" s="1"/>
  <c r="D31" i="26"/>
  <c r="E35" i="25"/>
  <c r="D35" i="25"/>
  <c r="H34" i="25"/>
  <c r="E34" i="25"/>
  <c r="D34" i="25"/>
  <c r="E31" i="25"/>
  <c r="D31" i="25"/>
  <c r="I35" i="24"/>
  <c r="H35" i="24"/>
  <c r="E35" i="24"/>
  <c r="D35" i="24"/>
  <c r="E34" i="24"/>
  <c r="D34" i="24"/>
  <c r="H31" i="24"/>
  <c r="E31" i="24"/>
  <c r="D31" i="24"/>
  <c r="C25" i="24"/>
  <c r="H34" i="23"/>
  <c r="G34" i="23"/>
  <c r="F34" i="23"/>
  <c r="E34" i="23"/>
  <c r="I34" i="23" s="1"/>
  <c r="D34" i="23"/>
  <c r="H33" i="23"/>
  <c r="G33" i="23"/>
  <c r="F33" i="23"/>
  <c r="E33" i="23"/>
  <c r="I33" i="23" s="1"/>
  <c r="D33" i="23"/>
  <c r="H30" i="23"/>
  <c r="G30" i="23"/>
  <c r="F30" i="23"/>
  <c r="E30" i="23"/>
  <c r="I30" i="23" s="1"/>
  <c r="D30" i="23"/>
  <c r="I26" i="23"/>
  <c r="H26" i="23"/>
  <c r="G26" i="23"/>
  <c r="F26" i="23"/>
  <c r="E26" i="23"/>
  <c r="D26" i="23"/>
  <c r="C26" i="23"/>
  <c r="C9" i="23"/>
  <c r="E9" i="23" s="1"/>
  <c r="E8" i="23"/>
  <c r="D8" i="23"/>
  <c r="H34" i="22"/>
  <c r="G34" i="22"/>
  <c r="F34" i="22"/>
  <c r="E34" i="22"/>
  <c r="I34" i="22" s="1"/>
  <c r="D34" i="22"/>
  <c r="H33" i="22"/>
  <c r="G33" i="22"/>
  <c r="F33" i="22"/>
  <c r="E33" i="22"/>
  <c r="I33" i="22" s="1"/>
  <c r="D33" i="22"/>
  <c r="H30" i="22"/>
  <c r="G30" i="22"/>
  <c r="F30" i="22"/>
  <c r="E30" i="22"/>
  <c r="I30" i="22" s="1"/>
  <c r="D30" i="22"/>
  <c r="I26" i="22"/>
  <c r="H26" i="22"/>
  <c r="G26" i="22"/>
  <c r="F26" i="22"/>
  <c r="E26" i="22"/>
  <c r="D26" i="22"/>
  <c r="C26" i="22"/>
  <c r="E9" i="22"/>
  <c r="C9" i="22"/>
  <c r="D9" i="22" s="1"/>
  <c r="E8" i="22"/>
  <c r="D8" i="22"/>
  <c r="H34" i="21"/>
  <c r="G34" i="21"/>
  <c r="F34" i="21"/>
  <c r="E34" i="21"/>
  <c r="I34" i="21" s="1"/>
  <c r="D34" i="21"/>
  <c r="G33" i="21"/>
  <c r="F33" i="21"/>
  <c r="E33" i="21"/>
  <c r="I33" i="21" s="1"/>
  <c r="D33" i="21"/>
  <c r="E30" i="21"/>
  <c r="D30" i="21"/>
  <c r="I26" i="21"/>
  <c r="H26" i="21"/>
  <c r="G26" i="21"/>
  <c r="F26" i="21"/>
  <c r="C26" i="21"/>
  <c r="E22" i="21"/>
  <c r="D22" i="21"/>
  <c r="D21" i="21"/>
  <c r="E21" i="21" s="1"/>
  <c r="E19" i="21"/>
  <c r="D19" i="21"/>
  <c r="D13" i="21"/>
  <c r="E13" i="21" s="1"/>
  <c r="E12" i="21"/>
  <c r="D12" i="21"/>
  <c r="E9" i="21"/>
  <c r="D9" i="21"/>
  <c r="E8" i="21"/>
  <c r="D8" i="21"/>
  <c r="F34" i="20"/>
  <c r="E34" i="20"/>
  <c r="H34" i="20" s="1"/>
  <c r="D34" i="20"/>
  <c r="H33" i="20"/>
  <c r="E33" i="20"/>
  <c r="D33" i="20"/>
  <c r="E30" i="20"/>
  <c r="D30" i="20"/>
  <c r="E27" i="20"/>
  <c r="D27" i="20"/>
  <c r="E33" i="17"/>
  <c r="D33" i="17"/>
  <c r="E30" i="17"/>
  <c r="D30" i="17"/>
  <c r="C17" i="17"/>
  <c r="E16" i="17"/>
  <c r="E17" i="17" s="1"/>
  <c r="D16" i="17"/>
  <c r="D17" i="17" s="1"/>
  <c r="E7" i="17"/>
  <c r="D7" i="17"/>
  <c r="C7" i="17"/>
  <c r="G33" i="16"/>
  <c r="F33" i="16"/>
  <c r="E33" i="16"/>
  <c r="I33" i="16" s="1"/>
  <c r="D33" i="16"/>
  <c r="H30" i="16"/>
  <c r="G30" i="16"/>
  <c r="F30" i="16"/>
  <c r="E30" i="16"/>
  <c r="I30" i="16" s="1"/>
  <c r="D30" i="16"/>
  <c r="C17" i="16"/>
  <c r="E16" i="16"/>
  <c r="E17" i="16" s="1"/>
  <c r="D16" i="16"/>
  <c r="D17" i="16" s="1"/>
  <c r="E7" i="16"/>
  <c r="D7" i="16"/>
  <c r="C7" i="16"/>
  <c r="E33" i="15"/>
  <c r="D33" i="15"/>
  <c r="E30" i="15"/>
  <c r="D30" i="15"/>
  <c r="C17" i="15"/>
  <c r="E16" i="15"/>
  <c r="E17" i="15" s="1"/>
  <c r="D16" i="15"/>
  <c r="D17" i="15" s="1"/>
  <c r="E7" i="15"/>
  <c r="D7" i="15"/>
  <c r="C7" i="15"/>
  <c r="I35" i="26" l="1"/>
  <c r="H33" i="21"/>
  <c r="D9" i="23"/>
  <c r="H33" i="16"/>
  <c r="C49" i="14" l="1"/>
  <c r="E48" i="14"/>
  <c r="E49" i="14" s="1"/>
  <c r="E29" i="14" s="1"/>
  <c r="D48" i="14"/>
  <c r="D49" i="14" s="1"/>
  <c r="D29" i="14" s="1"/>
  <c r="D47" i="14"/>
  <c r="C47" i="14"/>
  <c r="E46" i="14"/>
  <c r="D46" i="14"/>
  <c r="E41" i="14"/>
  <c r="D41" i="14"/>
  <c r="C41" i="14"/>
  <c r="E40" i="14"/>
  <c r="D40" i="14"/>
  <c r="C40" i="14"/>
  <c r="E39" i="14"/>
  <c r="D39" i="14"/>
  <c r="D44" i="14" s="1"/>
  <c r="D43" i="14" s="1"/>
  <c r="C39" i="14"/>
  <c r="E38" i="14"/>
  <c r="D38" i="14"/>
  <c r="C38" i="14"/>
  <c r="E37" i="14"/>
  <c r="D37" i="14"/>
  <c r="C37" i="14"/>
  <c r="E36" i="14"/>
  <c r="E44" i="14" s="1"/>
  <c r="E43" i="14" s="1"/>
  <c r="D36" i="14"/>
  <c r="C36" i="14"/>
  <c r="C44" i="14" s="1"/>
  <c r="C43" i="14" s="1"/>
  <c r="D32" i="14"/>
  <c r="C32" i="14"/>
  <c r="G32" i="14" s="1"/>
  <c r="C31" i="14"/>
  <c r="D30" i="14"/>
  <c r="D31" i="14" s="1"/>
  <c r="C30" i="14"/>
  <c r="I29" i="14"/>
  <c r="H29" i="14"/>
  <c r="G29" i="14"/>
  <c r="F29" i="14"/>
  <c r="C29" i="14"/>
  <c r="C12" i="14"/>
  <c r="E11" i="14"/>
  <c r="D11" i="14"/>
  <c r="C11" i="14"/>
  <c r="E48" i="13"/>
  <c r="E49" i="13" s="1"/>
  <c r="E29" i="13" s="1"/>
  <c r="C48" i="13"/>
  <c r="C49" i="13" s="1"/>
  <c r="C29" i="13" s="1"/>
  <c r="D44" i="13"/>
  <c r="D43" i="13" s="1"/>
  <c r="D15" i="13" s="1"/>
  <c r="D16" i="13" s="1"/>
  <c r="E41" i="13"/>
  <c r="D41" i="13"/>
  <c r="C41" i="13"/>
  <c r="E40" i="13"/>
  <c r="D40" i="13"/>
  <c r="C40" i="13"/>
  <c r="E39" i="13"/>
  <c r="D39" i="13"/>
  <c r="C39" i="13"/>
  <c r="E38" i="13"/>
  <c r="E44" i="13" s="1"/>
  <c r="E43" i="13" s="1"/>
  <c r="E15" i="13" s="1"/>
  <c r="E16" i="13" s="1"/>
  <c r="D38" i="13"/>
  <c r="C38" i="13"/>
  <c r="C44" i="13" s="1"/>
  <c r="C43" i="13" s="1"/>
  <c r="C15" i="13" s="1"/>
  <c r="C16" i="13" s="1"/>
  <c r="E37" i="13"/>
  <c r="D37" i="13"/>
  <c r="C37" i="13"/>
  <c r="I32" i="13"/>
  <c r="E32" i="13"/>
  <c r="D32" i="13"/>
  <c r="I29" i="13"/>
  <c r="H29" i="13"/>
  <c r="G29" i="13"/>
  <c r="F29" i="13"/>
  <c r="C12" i="13"/>
  <c r="E11" i="13"/>
  <c r="D11" i="13"/>
  <c r="C11" i="13"/>
  <c r="C49" i="12"/>
  <c r="C29" i="12" s="1"/>
  <c r="C48" i="12"/>
  <c r="E41" i="12"/>
  <c r="D41" i="12"/>
  <c r="C41" i="12"/>
  <c r="E40" i="12"/>
  <c r="D40" i="12"/>
  <c r="C40" i="12"/>
  <c r="E39" i="12"/>
  <c r="E44" i="12" s="1"/>
  <c r="E43" i="12" s="1"/>
  <c r="E15" i="12" s="1"/>
  <c r="E16" i="12" s="1"/>
  <c r="D39" i="12"/>
  <c r="C39" i="12"/>
  <c r="C44" i="12" s="1"/>
  <c r="C43" i="12" s="1"/>
  <c r="C15" i="12" s="1"/>
  <c r="C16" i="12" s="1"/>
  <c r="E38" i="12"/>
  <c r="D38" i="12"/>
  <c r="D44" i="12" s="1"/>
  <c r="D43" i="12" s="1"/>
  <c r="D15" i="12" s="1"/>
  <c r="D16" i="12" s="1"/>
  <c r="C38" i="12"/>
  <c r="E37" i="12"/>
  <c r="D37" i="12"/>
  <c r="C37" i="12"/>
  <c r="H32" i="12"/>
  <c r="E32" i="12"/>
  <c r="D32" i="12"/>
  <c r="I29" i="12"/>
  <c r="H29" i="12"/>
  <c r="G29" i="12"/>
  <c r="F29" i="12"/>
  <c r="I16" i="12"/>
  <c r="H16" i="12"/>
  <c r="G16" i="12"/>
  <c r="F16" i="12"/>
  <c r="I15" i="12"/>
  <c r="H15" i="12"/>
  <c r="G15" i="12"/>
  <c r="F15" i="12"/>
  <c r="E11" i="12"/>
  <c r="D11" i="12"/>
  <c r="C11" i="12"/>
  <c r="E49" i="11"/>
  <c r="E29" i="11" s="1"/>
  <c r="C49" i="11"/>
  <c r="E48" i="11"/>
  <c r="E48" i="12" s="1"/>
  <c r="D48" i="11"/>
  <c r="D48" i="13" s="1"/>
  <c r="C47" i="11"/>
  <c r="C47" i="13" s="1"/>
  <c r="C46" i="13" s="1"/>
  <c r="C30" i="13" s="1"/>
  <c r="C31" i="13" s="1"/>
  <c r="E44" i="11"/>
  <c r="E43" i="11" s="1"/>
  <c r="E15" i="11" s="1"/>
  <c r="D44" i="11"/>
  <c r="C44" i="11"/>
  <c r="C43" i="11" s="1"/>
  <c r="C15" i="11" s="1"/>
  <c r="D43" i="11"/>
  <c r="D15" i="11" s="1"/>
  <c r="I32" i="11"/>
  <c r="I32" i="12" s="1"/>
  <c r="H32" i="11"/>
  <c r="H32" i="13" s="1"/>
  <c r="G32" i="11"/>
  <c r="G32" i="12" s="1"/>
  <c r="C32" i="11"/>
  <c r="C32" i="12" s="1"/>
  <c r="E30" i="11"/>
  <c r="E31" i="11" s="1"/>
  <c r="C30" i="11"/>
  <c r="C31" i="11" s="1"/>
  <c r="C29" i="11"/>
  <c r="E34" i="10"/>
  <c r="D34" i="10"/>
  <c r="D30" i="10"/>
  <c r="E30" i="10" s="1"/>
  <c r="I14" i="10"/>
  <c r="H14" i="10"/>
  <c r="G14" i="10"/>
  <c r="F14" i="10"/>
  <c r="I13" i="10"/>
  <c r="H13" i="10"/>
  <c r="G13" i="10"/>
  <c r="F13" i="10"/>
  <c r="G34" i="9"/>
  <c r="F34" i="9"/>
  <c r="E34" i="9"/>
  <c r="I34" i="9" s="1"/>
  <c r="D34" i="9"/>
  <c r="G33" i="9"/>
  <c r="F33" i="9"/>
  <c r="E33" i="9"/>
  <c r="I33" i="9" s="1"/>
  <c r="D33" i="9"/>
  <c r="E30" i="9"/>
  <c r="D30" i="9"/>
  <c r="E17" i="9"/>
  <c r="D17" i="9"/>
  <c r="C17" i="9"/>
  <c r="H34" i="8"/>
  <c r="G34" i="8"/>
  <c r="F34" i="8"/>
  <c r="E34" i="8"/>
  <c r="I34" i="8" s="1"/>
  <c r="D34" i="8"/>
  <c r="E33" i="8"/>
  <c r="D33" i="8"/>
  <c r="E30" i="8"/>
  <c r="D30" i="8"/>
  <c r="E17" i="8"/>
  <c r="D17" i="8"/>
  <c r="C17" i="8"/>
  <c r="I14" i="8"/>
  <c r="H14" i="8"/>
  <c r="G14" i="8"/>
  <c r="F14" i="8"/>
  <c r="H34" i="7"/>
  <c r="G34" i="7"/>
  <c r="F34" i="7"/>
  <c r="E34" i="7"/>
  <c r="I34" i="7" s="1"/>
  <c r="D34" i="7"/>
  <c r="G33" i="7"/>
  <c r="F33" i="7"/>
  <c r="E33" i="7"/>
  <c r="H33" i="7" s="1"/>
  <c r="D33" i="7"/>
  <c r="E30" i="7"/>
  <c r="D30" i="7"/>
  <c r="E17" i="7"/>
  <c r="D17" i="7"/>
  <c r="C17" i="7"/>
  <c r="I14" i="7"/>
  <c r="H14" i="7"/>
  <c r="G14" i="7"/>
  <c r="F14" i="7"/>
  <c r="C34" i="3"/>
  <c r="D15" i="14" l="1"/>
  <c r="D16" i="14" s="1"/>
  <c r="D16" i="11"/>
  <c r="C16" i="11"/>
  <c r="C15" i="14"/>
  <c r="C16" i="14" s="1"/>
  <c r="D49" i="13"/>
  <c r="D29" i="13" s="1"/>
  <c r="D30" i="13"/>
  <c r="D31" i="13" s="1"/>
  <c r="E49" i="12"/>
  <c r="E29" i="12" s="1"/>
  <c r="E15" i="14"/>
  <c r="E16" i="14" s="1"/>
  <c r="E16" i="11"/>
  <c r="D30" i="11"/>
  <c r="D31" i="11" s="1"/>
  <c r="E32" i="14"/>
  <c r="D47" i="11"/>
  <c r="C47" i="12"/>
  <c r="C46" i="12" s="1"/>
  <c r="C30" i="12" s="1"/>
  <c r="C31" i="12" s="1"/>
  <c r="D48" i="12"/>
  <c r="E30" i="13"/>
  <c r="E31" i="13" s="1"/>
  <c r="C32" i="13"/>
  <c r="G32" i="13"/>
  <c r="F32" i="14"/>
  <c r="E47" i="14"/>
  <c r="F32" i="11"/>
  <c r="E47" i="11"/>
  <c r="D49" i="11"/>
  <c r="D29" i="11" s="1"/>
  <c r="L28" i="11" s="1"/>
  <c r="M28" i="11" s="1"/>
  <c r="E30" i="14"/>
  <c r="E31" i="14" s="1"/>
  <c r="H33" i="9"/>
  <c r="I33" i="7"/>
  <c r="H34" i="9"/>
  <c r="E34" i="5"/>
  <c r="D34" i="5"/>
  <c r="E33" i="5"/>
  <c r="D33" i="5"/>
  <c r="C33" i="5"/>
  <c r="E30" i="5"/>
  <c r="D30" i="5"/>
  <c r="E34" i="3"/>
  <c r="D34" i="3"/>
  <c r="E33" i="3"/>
  <c r="D33" i="3"/>
  <c r="E30" i="3"/>
  <c r="D30" i="3"/>
  <c r="D49" i="12" l="1"/>
  <c r="D29" i="12" s="1"/>
  <c r="E47" i="12"/>
  <c r="E46" i="12" s="1"/>
  <c r="E30" i="12" s="1"/>
  <c r="E31" i="12" s="1"/>
  <c r="E47" i="13"/>
  <c r="F32" i="12"/>
  <c r="F32" i="13"/>
  <c r="D47" i="12"/>
  <c r="D46" i="12" s="1"/>
  <c r="D30" i="12" s="1"/>
  <c r="D31" i="12" s="1"/>
  <c r="D47" i="13"/>
  <c r="H32" i="14"/>
  <c r="I32" i="14"/>
  <c r="F33" i="5"/>
  <c r="D13" i="5"/>
  <c r="E13" i="5"/>
  <c r="C13" i="5"/>
  <c r="F33" i="3"/>
  <c r="F30" i="5" l="1"/>
  <c r="G33" i="5"/>
  <c r="G30" i="5"/>
  <c r="F34" i="3"/>
  <c r="I34" i="3"/>
  <c r="H34" i="3"/>
  <c r="G34" i="3"/>
  <c r="H34" i="5"/>
  <c r="I34" i="5"/>
  <c r="F34" i="5"/>
  <c r="G34" i="5"/>
  <c r="G33" i="3"/>
  <c r="H33" i="5" l="1"/>
  <c r="I33" i="5"/>
  <c r="I33" i="3"/>
  <c r="H33" i="3"/>
</calcChain>
</file>

<file path=xl/sharedStrings.xml><?xml version="1.0" encoding="utf-8"?>
<sst xmlns="http://schemas.openxmlformats.org/spreadsheetml/2006/main" count="3272" uniqueCount="467">
  <si>
    <t xml:space="preserve">Technology </t>
  </si>
  <si>
    <t>Technology</t>
  </si>
  <si>
    <t>Geothermal power plant - large system (flash or dry)</t>
  </si>
  <si>
    <t>Uncertainty (2020)</t>
  </si>
  <si>
    <t>Uncertainty (2050)</t>
  </si>
  <si>
    <t>Note</t>
  </si>
  <si>
    <t>Ref</t>
  </si>
  <si>
    <t>Energy/technical data</t>
  </si>
  <si>
    <t>Lower</t>
  </si>
  <si>
    <t>Upper</t>
  </si>
  <si>
    <t>Generating capacity for one unit (MWe)</t>
  </si>
  <si>
    <t>Generating capacity for total power plant (MWe)</t>
  </si>
  <si>
    <t>Electricity efficiency, net (%), name plate</t>
  </si>
  <si>
    <t>A</t>
  </si>
  <si>
    <t>Electricity efficiency, net (%), annual average</t>
  </si>
  <si>
    <t>Forced outage (%)</t>
  </si>
  <si>
    <t>Planned outage (weeks per year)</t>
  </si>
  <si>
    <t>Technical lifetime (years)</t>
  </si>
  <si>
    <t>Construction time (years)</t>
  </si>
  <si>
    <t>1,5</t>
  </si>
  <si>
    <r>
      <t>Space requirement (1000 m</t>
    </r>
    <r>
      <rPr>
        <vertAlign val="superscript"/>
        <sz val="9"/>
        <rFont val="Times New Roman"/>
        <family val="1"/>
      </rPr>
      <t>2</t>
    </r>
    <r>
      <rPr>
        <sz val="9"/>
        <rFont val="Times New Roman"/>
        <family val="1"/>
      </rPr>
      <t>/MWe)</t>
    </r>
  </si>
  <si>
    <t>Additional data for non thermal plants</t>
  </si>
  <si>
    <t>Capacity factor (%), theoretical</t>
  </si>
  <si>
    <t>Capacity factor (%), incl. outages</t>
  </si>
  <si>
    <t>Ramping configurations</t>
  </si>
  <si>
    <t>Ramping (% per minute)</t>
  </si>
  <si>
    <t>Minimum load (% of full load)</t>
  </si>
  <si>
    <t>Warm start-up time (hours)</t>
  </si>
  <si>
    <t>Cold start-up time (hours)</t>
  </si>
  <si>
    <t>Environment</t>
  </si>
  <si>
    <r>
      <t>PM 2.5 (gram per Nm</t>
    </r>
    <r>
      <rPr>
        <vertAlign val="superscript"/>
        <sz val="9"/>
        <rFont val="Times New Roman"/>
        <family val="1"/>
      </rPr>
      <t>3</t>
    </r>
    <r>
      <rPr>
        <sz val="9"/>
        <rFont val="Times New Roman"/>
        <family val="1"/>
      </rPr>
      <t>)</t>
    </r>
  </si>
  <si>
    <t>-</t>
  </si>
  <si>
    <t>C</t>
  </si>
  <si>
    <r>
      <t>SO</t>
    </r>
    <r>
      <rPr>
        <vertAlign val="subscript"/>
        <sz val="9"/>
        <rFont val="Times New Roman"/>
        <family val="1"/>
      </rPr>
      <t>2</t>
    </r>
    <r>
      <rPr>
        <sz val="9"/>
        <rFont val="Times New Roman"/>
        <family val="1"/>
      </rPr>
      <t xml:space="preserve"> (degree of desulphuring, %) </t>
    </r>
  </si>
  <si>
    <r>
      <t>NO</t>
    </r>
    <r>
      <rPr>
        <vertAlign val="subscript"/>
        <sz val="9"/>
        <rFont val="Times New Roman"/>
        <family val="1"/>
      </rPr>
      <t>X</t>
    </r>
    <r>
      <rPr>
        <sz val="9"/>
        <rFont val="Times New Roman"/>
        <family val="1"/>
      </rPr>
      <t xml:space="preserve"> (g per GJ fuel) </t>
    </r>
  </si>
  <si>
    <r>
      <t>CH</t>
    </r>
    <r>
      <rPr>
        <vertAlign val="subscript"/>
        <sz val="9"/>
        <rFont val="Times New Roman"/>
        <family val="1"/>
      </rPr>
      <t>4</t>
    </r>
    <r>
      <rPr>
        <sz val="9"/>
        <rFont val="Times New Roman"/>
        <family val="1"/>
      </rPr>
      <t xml:space="preserve"> (g per GJ fuel)</t>
    </r>
  </si>
  <si>
    <r>
      <t>N</t>
    </r>
    <r>
      <rPr>
        <vertAlign val="subscript"/>
        <sz val="9"/>
        <rFont val="Times New Roman"/>
        <family val="1"/>
      </rPr>
      <t>2</t>
    </r>
    <r>
      <rPr>
        <sz val="9"/>
        <rFont val="Times New Roman"/>
        <family val="1"/>
      </rPr>
      <t>O (g per GJ fuel)</t>
    </r>
  </si>
  <si>
    <t xml:space="preserve">Financial data                                 </t>
  </si>
  <si>
    <t xml:space="preserve">Nominal investment (M$/MWe) </t>
  </si>
  <si>
    <t>1,2,3,4</t>
  </si>
  <si>
    <t xml:space="preserve"> - of which equipment</t>
  </si>
  <si>
    <t xml:space="preserve"> - of which installation</t>
  </si>
  <si>
    <t>Fixed O&amp;M ($/MWe/year)</t>
  </si>
  <si>
    <t>B,D</t>
  </si>
  <si>
    <t>1,4</t>
  </si>
  <si>
    <t xml:space="preserve">Variable O&amp;M ($/MWh) </t>
  </si>
  <si>
    <t>Start-up costs ($/MWe/start-up)</t>
  </si>
  <si>
    <t>Technology specific data</t>
  </si>
  <si>
    <t>Exploration costs (M$/MWe)</t>
  </si>
  <si>
    <t>Confirmation costs (M$/MWe)</t>
  </si>
  <si>
    <t>References:</t>
  </si>
  <si>
    <t>PLN, 2017, data provided the System Planning Division at PLN</t>
  </si>
  <si>
    <t>IEA, World Energy Outlook, 2015.</t>
  </si>
  <si>
    <t>IRENA, 2015, Renewable Power Generation Costs in 2014.</t>
  </si>
  <si>
    <t>Learning curve approach for the development of financial parameters.</t>
  </si>
  <si>
    <t>Moon &amp; Zarrouk, 2012, “Efficiency Of Geothermal Power Plants: A Worldwide Review”.</t>
  </si>
  <si>
    <t>Yuniarto, et. al., 2015. “Geothermal Power Plant Emissions in Indonesia”.</t>
  </si>
  <si>
    <t>Geothermal Energy Association, 2006, "A Handbook on the Externalities, Employment, and Economics of Geothermal Energy".</t>
  </si>
  <si>
    <t>Geothermal Energy Association, 2015, "Geothermal Energy Association Issue Brief: Firm and Flexible Power Services Available from Geothermal Facilities"</t>
  </si>
  <si>
    <t xml:space="preserve">Notes: </t>
  </si>
  <si>
    <t>The efficiency is the thermal efficiency - meaning the utilization of heat from the ground. Since the geothermal heat is renewable and considered free, then an increase in effciency will give a lower investment cost per MW. These large units are assumed to be flach units at high source temperatures.</t>
  </si>
  <si>
    <t>B</t>
  </si>
  <si>
    <t>Uncertainty (Upper/Lower) is estimated as +/- 25%, which is an estimate build upon cases from IRENA (ref. 3)</t>
  </si>
  <si>
    <r>
      <t>Geothermal do emit H</t>
    </r>
    <r>
      <rPr>
        <vertAlign val="subscript"/>
        <sz val="9"/>
        <rFont val="Times New Roman"/>
        <family val="1"/>
      </rPr>
      <t>2</t>
    </r>
    <r>
      <rPr>
        <sz val="9"/>
        <rFont val="Times New Roman"/>
        <family val="1"/>
      </rPr>
      <t>S. From Minister of Environment Regulation 21/2008 this shall be below 35 mg/Nm</t>
    </r>
    <r>
      <rPr>
        <vertAlign val="superscript"/>
        <sz val="9"/>
        <rFont val="Times New Roman"/>
        <family val="1"/>
      </rPr>
      <t>3</t>
    </r>
    <r>
      <rPr>
        <sz val="9"/>
        <rFont val="Times New Roman"/>
        <family val="1"/>
      </rPr>
      <t>.</t>
    </r>
  </si>
  <si>
    <t>D</t>
  </si>
  <si>
    <t>The learning rate is assumed to impact the geothermal specific equipment and installation. The power plant units (i.e. the turbine and pump) is assumed to have very litle development. From Ref. 3 it is assumed that half of the investment cost are on the geothermal specific equipment.</t>
  </si>
  <si>
    <t>E</t>
  </si>
  <si>
    <t>Investment cost are including Exploration and Confirmation costs (see under Technology specific data).</t>
  </si>
  <si>
    <t>Geothermal power plant - small system (binary or condensing)</t>
  </si>
  <si>
    <t>1,8</t>
  </si>
  <si>
    <t>1,2,4,8</t>
  </si>
  <si>
    <t>C,D</t>
  </si>
  <si>
    <t>Budisulistyo &amp; Krumdieck , 2014, "Thermodynamic and economic analysis for the pre- feasibility study of a binary geothermal power plant"</t>
  </si>
  <si>
    <t>Climate Policy Initiative, 2015, Using Private Finance to Accelerate Geothermal Deployment: Sarulla Geothermal Power Plant, Indonesia.</t>
  </si>
  <si>
    <t>The efficiency is the thermal efficiency - meaning the utilization of heat from the ground. Since the geothermal heat is renewable and considered free, then an increase in effciency will give a lower investment cost per MW. These smaller units are assumed to be binary units at medium source temperatures.</t>
  </si>
  <si>
    <t>Uncertainty (Upper/Lower) is estimated as +/- 25%.</t>
  </si>
  <si>
    <t>Investment cost include the engineering, procurement and construction (EPC) cost. See description under Methodology.</t>
  </si>
  <si>
    <t>F</t>
  </si>
  <si>
    <t>B,D,E,F</t>
  </si>
  <si>
    <t>C,D,E,F</t>
  </si>
  <si>
    <t>For 2020, uncertainty ranges are based on cost spans of various sources. For 2050, we combine the base uncertainity in 2020 with an additional uncertainty span based on learning rates variying between 10-15% and capacity deployment from Stated Policies and Sustainable Development scenarios separately.</t>
  </si>
  <si>
    <t>Hydro power plant - large system</t>
  </si>
  <si>
    <t>1,8,10</t>
  </si>
  <si>
    <t>2,12</t>
  </si>
  <si>
    <t>D,E,F</t>
  </si>
  <si>
    <t>1,4,5,6,9</t>
  </si>
  <si>
    <t>1,4,5,6</t>
  </si>
  <si>
    <t>Branche, 2011, “Hydropower: the strongest performer in the CDM process, reflecting high quality of hydro in comparison to other renewable energy sources”.</t>
  </si>
  <si>
    <t>Eurelectric, 2015, "Hydropower - Supporting a power system in transition".</t>
  </si>
  <si>
    <t>IEA, Projected Costs of Generating Electricity, 2015.</t>
  </si>
  <si>
    <t>Stepan, 2011, Workshop on Rehabilitation of Hydropower, “The 3-Phase Approach”.</t>
  </si>
  <si>
    <t>Prayogo, 2003, "Teknologi Mikrohidro dalam Pemanfaatan Sumber Daya Air untuk Menunjang Pembangunan Pedesaan. Semiloka Produk-produk Penelitian Departement Kimpraswill Makassar".</t>
  </si>
  <si>
    <t>Energy and Environmental Economics, 2014, "Capital Cost Review of Power Generation Technologies - Recommendations for WECC’s 10- and 20-Year Studies".</t>
  </si>
  <si>
    <t>General Electric, www.gerenewableenergy.com, Accessed: 20th July 2017</t>
  </si>
  <si>
    <t>ASEAN, 2016, "Levelised cost of electricity of selected renewable technologies in the ASEAN member states".</t>
  </si>
  <si>
    <t>MEMR, 2016, "Handbook of Energy &amp; Economic Statistics of Indonesia 2016", Ministry of Energy and Mineral Resources, Jakarta, Indonesia.</t>
  </si>
  <si>
    <t>This is the efficiency of the utilization of the waters potential energy. This can not be compared with a thermal power plant that have to pay for its fuel.</t>
  </si>
  <si>
    <t>Hydro power plants can have a very long lifetime is operated and mainted properly. Hover Dam in USA is almost 100 years old.</t>
  </si>
  <si>
    <t>Numbers are very site sensitive. There will be an improvement by learning curve development, but this improvement will equalized because the best locations will be utilized first. The investment largely depends on civil work.</t>
  </si>
  <si>
    <t>Hydro power plant - Medium system</t>
  </si>
  <si>
    <t>8,9</t>
  </si>
  <si>
    <t>4,5,6,7</t>
  </si>
  <si>
    <t>4,5,7</t>
  </si>
  <si>
    <t>Hydro power plant - Mini/micro system</t>
  </si>
  <si>
    <t>2,10</t>
  </si>
  <si>
    <t>D,F</t>
  </si>
  <si>
    <t>1,5,9</t>
  </si>
  <si>
    <t>IFC, 2015, "Hydroelectric Power - A guide for developers and investers".</t>
  </si>
  <si>
    <t>Hydro power plants can have a very long lifetime is operated and mainted properbly. Hover Dam in USA is almost 100 years old.</t>
  </si>
  <si>
    <t>Numbers are very site sensitive and the uncertainty can be even more extreme than listed. There will be an improvement by learning curve development, but this improvement will equalized because the best locations will be utilized first. The investment largely depends on civil work.</t>
  </si>
  <si>
    <t>It is assumed that micro and mini hydro do not have a reservior (run-of-river) and therefor is not capable of regulation. The possibility of a turbine bypass could give the possibility of down regulation.</t>
  </si>
  <si>
    <t>Hydro pumped storage</t>
  </si>
  <si>
    <t>1,6</t>
  </si>
  <si>
    <t>1,3,5</t>
  </si>
  <si>
    <t>2,5</t>
  </si>
  <si>
    <t>C,E</t>
  </si>
  <si>
    <t>1,3,4</t>
  </si>
  <si>
    <t xml:space="preserve"> - of which equipment (%)</t>
  </si>
  <si>
    <t xml:space="preserve"> - of which installation (%)</t>
  </si>
  <si>
    <t>3,4,6.7</t>
  </si>
  <si>
    <t>1,7</t>
  </si>
  <si>
    <t>Size of reservoir (MWh)</t>
  </si>
  <si>
    <t>Load/unload time (hours)</t>
  </si>
  <si>
    <t>Lazard, 2016, “Lazard’s Levelised Cost of Storage – version 2.0”.</t>
  </si>
  <si>
    <t>MWH, 2009, Technical Analysis of Pumped Storage and Integration with Wind Power in the Pacific Northwest</t>
  </si>
  <si>
    <t>U.S. Department of Energy, 2015, “Hydropower Market Report”.</t>
  </si>
  <si>
    <t>Connolly, 2009, "A Review of Energy Storage Technologies - For the integration of fluctuating renewable energy".</t>
  </si>
  <si>
    <t>IRENA, 2012, "Renewable Energy Technologies: Cost Analysis Series - Hydropower".</t>
  </si>
  <si>
    <t xml:space="preserve">Size per turbine. </t>
  </si>
  <si>
    <t>Uncertainty (Upper/Lower) is estimated as +/- 50%.</t>
  </si>
  <si>
    <t>The size of the total power plant and not per unit (turbine).</t>
  </si>
  <si>
    <t>Utility-scale Solar PV</t>
  </si>
  <si>
    <t>Generating capacity a typical power plant (MWe)</t>
  </si>
  <si>
    <t>1</t>
  </si>
  <si>
    <r>
      <t>Space requirement (1000 m</t>
    </r>
    <r>
      <rPr>
        <vertAlign val="superscript"/>
        <sz val="9"/>
        <rFont val="Times New Roman"/>
        <family val="1"/>
      </rPr>
      <t>2</t>
    </r>
    <r>
      <rPr>
        <sz val="9"/>
        <rFont val="Times New Roman"/>
        <family val="1"/>
      </rPr>
      <t>/MWp)</t>
    </r>
  </si>
  <si>
    <t>1,2</t>
  </si>
  <si>
    <t>Nominal investment (M$/MWe) </t>
  </si>
  <si>
    <t>D,R,S</t>
  </si>
  <si>
    <t>E,Q</t>
  </si>
  <si>
    <t>5,6</t>
  </si>
  <si>
    <t>Global horizontal irradiance (kWh/m2/y)</t>
  </si>
  <si>
    <t>DC/AC sizing factor (Wp/W)</t>
  </si>
  <si>
    <t>G</t>
  </si>
  <si>
    <t>Transposition Factor for fixed tilt system</t>
  </si>
  <si>
    <t>H</t>
  </si>
  <si>
    <t>Performance ratio [-]</t>
  </si>
  <si>
    <t>I</t>
  </si>
  <si>
    <t>PV module conversion efficiency (%)</t>
  </si>
  <si>
    <t>Inverter lifetime (years)</t>
  </si>
  <si>
    <t/>
  </si>
  <si>
    <t>Output</t>
  </si>
  <si>
    <t>Full load hours (kWh/kW)</t>
  </si>
  <si>
    <t>J, L</t>
  </si>
  <si>
    <t>Peak power full load hours (kWh/kWp)</t>
  </si>
  <si>
    <t>K, L</t>
  </si>
  <si>
    <t>Financial data</t>
  </si>
  <si>
    <t>PV module &amp; inverter cost ($/Wp)</t>
  </si>
  <si>
    <t>Balance Of Plant cost ($/Wp)</t>
  </si>
  <si>
    <t>Specific investment, total system ($/Wp)</t>
  </si>
  <si>
    <t>M</t>
  </si>
  <si>
    <t>5,6,9</t>
  </si>
  <si>
    <t>Specific investment, total system (M$/MW)</t>
  </si>
  <si>
    <t>P</t>
  </si>
  <si>
    <t>Data analysed from www.renewables.ninja for multiple locations in Indonesia.</t>
  </si>
  <si>
    <t>IEA, World Energy Outlook, 2019.</t>
  </si>
  <si>
    <t>Cirata 1 MW Solar PV O&amp;M and Financial Perspective, Sharing Experience. PJB.</t>
  </si>
  <si>
    <r>
      <t xml:space="preserve">The Danish Energy Agency, </t>
    </r>
    <r>
      <rPr>
        <i/>
        <sz val="9"/>
        <color theme="1"/>
        <rFont val="Times New Roman"/>
        <family val="1"/>
      </rPr>
      <t>Generation of electricity and district heating, 2020.</t>
    </r>
  </si>
  <si>
    <t>Permasalahan penetrasi solar pv pada sistem grid nasional, Dewan Energi Nasional, Juni 2017  PT Len Industri (Persero)</t>
  </si>
  <si>
    <t>PVGIS © Europeen Communitees 2001-2012.</t>
  </si>
  <si>
    <t>Learning curve based forecast of technology costs. Ea Energy Analyses, 2020</t>
  </si>
  <si>
    <t>See "PV module conversion efficiency (%)". The improvement in technology development is also captured in capacity factor, investment costs and space requirement.</t>
  </si>
  <si>
    <t>The production from a PV system reflects the yearly and daily variation in solar irradiation. It is possible to curtail solar, and this can be done rapidly.</t>
  </si>
  <si>
    <t>Listed as MWe. The MWp will be around 10% higher.</t>
  </si>
  <si>
    <t>Assumptions described in the section "Assumptions and perspectives for further development"</t>
  </si>
  <si>
    <t>The global horizontal irradiation is a measure of the energy resource potential available and depends on the exact geographical location. 1800 kWh/m2 corresponds to a good location in Indonesia, in the top 20% percentile of the best solar sites.</t>
  </si>
  <si>
    <t>The DC/AC shown in the table equals module peak capacity divided by plant capacity. The sizing factor is chosen according to the desired utilisation/loading of the inverter which can also reflect a desire to maximise the energy production from a given (restricted) AC-capacity.</t>
  </si>
  <si>
    <t>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In Indonesia the TF factor for fixed systems is very low, adding only 0-1 % to the production.</t>
  </si>
  <si>
    <t>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 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t>
  </si>
  <si>
    <t>J</t>
  </si>
  <si>
    <t>The number of full load hours is calculated based on the other values in the table. The formula is: Full load hours = Global horizontal irradiance * transposition factor * performance ratio.</t>
  </si>
  <si>
    <t>K</t>
  </si>
  <si>
    <t>Also known as the specific yearly energy production (kWh/kWp) of the PV modules. This value is calculated from this formula: Peak power full load hours = 1046 * transposition factor * (1-incident angle modifier loss) * (1-PV system losses etc.) * (1-inverter loss) * (1-AC grid loss).</t>
  </si>
  <si>
    <t>L</t>
  </si>
  <si>
    <t>Capacity factor = Full load hours / 8760.</t>
  </si>
  <si>
    <t>Current international market prices for utility scale PV systems have been estimated based on interviews with Danish developers and an assesment of the prices from Danish and Germany tenders for PV capacity in 2016 and the beginning of 2017. The forecasted internatinal price is based on estimated learning rates for the module and invester (20 % learning rate) and balance of plant (10 % learning rate) and a projection of the cumulated PV capacity based on the IEA's 450 ppm scenario. The share that the PV module and the invester accounts for decreases over time as the result of the higher learning rate compared to the balance of plant. Indonesian prices are assumed to be somewhat higher in the first years thereafter approaching gradually the international level.</t>
  </si>
  <si>
    <t xml:space="preserve">P </t>
  </si>
  <si>
    <t>The “specific investment, total system per rated capacity W(AC)” is calculated as “specific investment, total system per Wp(DC)” multiplied by the sizing factor.</t>
  </si>
  <si>
    <t>Q</t>
  </si>
  <si>
    <t>The cost of O&amp;M includes insurance and regular replacement of inverters and land-lease. Annual O&amp;M is estimated to be 2 % of investment cost per MWp.</t>
  </si>
  <si>
    <t>R</t>
  </si>
  <si>
    <t>S</t>
  </si>
  <si>
    <t>For 2020, uncertainty ranges are based on cost spans of various sources. For 2050, we combine the base uncertainity in 2020 with an additional uncertainty span based on learning rates variying between 17.5-22.5% and capacity deployment from Stated Policies and Sustainable Development scenarios separately.</t>
  </si>
  <si>
    <t>Rooftop PV grid connected</t>
  </si>
  <si>
    <t>Generating capacity for total power plant (kW)</t>
  </si>
  <si>
    <r>
      <t>Space requirement (m</t>
    </r>
    <r>
      <rPr>
        <vertAlign val="superscript"/>
        <sz val="9"/>
        <rFont val="Times New Roman"/>
        <family val="1"/>
      </rPr>
      <t>2</t>
    </r>
    <r>
      <rPr>
        <sz val="9"/>
        <rFont val="Times New Roman"/>
        <family val="1"/>
      </rPr>
      <t>/kW)</t>
    </r>
  </si>
  <si>
    <t>Performance ratio</t>
  </si>
  <si>
    <t>Specific investment, total system (million $/MW)</t>
  </si>
  <si>
    <t>Industrial PV - Large scale grid connected</t>
  </si>
  <si>
    <t>Generating capacity for total power plant (kWe)</t>
  </si>
  <si>
    <t>Floating PV - Large scale grid connected</t>
  </si>
  <si>
    <r>
      <t xml:space="preserve">Iselectric brochure.  </t>
    </r>
    <r>
      <rPr>
        <sz val="9"/>
        <rFont val="Times New Roman"/>
        <family val="1"/>
      </rPr>
      <t>Last accessed: September 2020</t>
    </r>
  </si>
  <si>
    <t>Wind power - Onshore</t>
  </si>
  <si>
    <t>D,G</t>
  </si>
  <si>
    <t>2, 3</t>
  </si>
  <si>
    <t>PLN data provided by the System Planning Division at PLN. Supported by review of international price data, cf. technology description.</t>
  </si>
  <si>
    <t>IRENA (2015). Renewable Power Generation Cost in 2014</t>
  </si>
  <si>
    <t>Danish Energy Agency, 2012/2016.Technology Data on Energy Plants - Generation of Electricity and District Heating, Energy Storage and Energy Carrier Generation and Conversion</t>
  </si>
  <si>
    <t>IEA Wind Task 26, 2015, "Wind Technology, Cost, and Performance Trends in Denmark, Germany, Ireland, Norway, the EU, and the USA: 2007–2012".</t>
  </si>
  <si>
    <t>Vestas data provided by the Sales Division for the Asian Pacific.</t>
  </si>
  <si>
    <t>The efficiency is defined as 100%. The improvement in technology development is captured in capacity factor, investment cost and space requirement.</t>
  </si>
  <si>
    <t xml:space="preserve">The capacity factor provided represent an average of good locations in Indonesia, see presentation in catalogue text. As mentioned in the description, generelly speaking, the wind resource in Indonesia. </t>
  </si>
  <si>
    <t>Equipment: Cost of turbines including transportation. Installation: Electricical infrastructure of turbine, civil works, grid connection, planning and management. The split of cost may vary considerably from project to project.</t>
  </si>
  <si>
    <t>The IEA expects approximately a doubling of the accumulated wind power capacity between 2020 and 2030 and 4-5 times more by 2050 compared to 2020. Assuming a learning of 12.5 % per annum this yields a cost reduction of approx. 13 % by 2030 and approx. 25 % by 2050.</t>
  </si>
  <si>
    <t>With sufficient wind resource available (wind speed higher than 4-6 m/s and lower than 25-30 m/s) wind turbines can always provide down regulation, and in many cases also up regulation, provided the turbine is running in power-curtailed mode (i.e. with an output which is deliberately set below the possible power based on the available wind).</t>
  </si>
  <si>
    <t>Wind power - Small onshore wind turbines &lt; 1 MW</t>
  </si>
  <si>
    <t>5, 6</t>
  </si>
  <si>
    <t>1, 6</t>
  </si>
  <si>
    <t>D,E</t>
  </si>
  <si>
    <t>PLN data provided by Pak Arief Sugiyanto, System Planning Devision at PLN. Supported by review of international price data, cf. technology description.</t>
  </si>
  <si>
    <t>Wind Energy Resources of Indonesia 2014-2017, EMD International A/S, Denmark, financed by the Environmental Support Programme 3 (ESP3) / Danida.</t>
  </si>
  <si>
    <t>Case: Faroe Islands, Húsahagi 2014</t>
  </si>
  <si>
    <t>Case: Kenya, Lake Turkana, 2014-2017</t>
  </si>
  <si>
    <t xml:space="preserve">The capacity factor provided represent an average of good locations in Indonesia, see presentation in catalogue text. As mentioned in the description, generelly speaking, the wind resource in Indonesia is scarce. </t>
  </si>
  <si>
    <t>Wind power - Offshore</t>
  </si>
  <si>
    <r>
      <t>Space requirement (1000 m</t>
    </r>
    <r>
      <rPr>
        <vertAlign val="superscript"/>
        <sz val="11"/>
        <color theme="1"/>
        <rFont val="Calibri"/>
        <family val="1"/>
        <scheme val="minor"/>
      </rPr>
      <t>2</t>
    </r>
    <r>
      <rPr>
        <sz val="11"/>
        <color theme="1"/>
        <rFont val="Calibri"/>
        <family val="1"/>
        <scheme val="minor"/>
      </rPr>
      <t>/MWe)</t>
    </r>
  </si>
  <si>
    <t>The capacity factor provided represent an average of good locations in Indonesia, see presentation in catalogue text.</t>
  </si>
  <si>
    <t>Tidal power - Impoundment Type</t>
  </si>
  <si>
    <t>3,5</t>
  </si>
  <si>
    <t>1,2,4</t>
  </si>
  <si>
    <t>DECC GOV.UK, “The UK 2050 Calculator: Tidal Range Cost Data,” 2011.</t>
  </si>
  <si>
    <t>Ernst &amp; Young, “Cost of and financial support for wave, tidal stream and tidal range generation in the UK,” 2010</t>
  </si>
  <si>
    <t>IRENA, “Tidal Energy Technology Brief,” 2014</t>
  </si>
  <si>
    <t>Pacific Northwest National Laboratory (PNNL), Tethys</t>
  </si>
  <si>
    <t>Tatiana Montllonch Araquistain, Tidal Power: Economic and Technological assessment.</t>
  </si>
  <si>
    <t>Based on various projects and company datasheets. The turbine size can vary from project to project based on requirement. The Sihwa Lake project in Korea has 25.4 MW turbines.</t>
  </si>
  <si>
    <t>The capacity is strongly dependent on resources available and shape of coastline. Although a lot of proposed plants are much larger in size, with some being  over 2 GW as well, the capacity shown here is based on deployment of plants so far.</t>
  </si>
  <si>
    <t>Actual operational life can be upto 120 years. However, lifetime is taken as 40 years, since there can be significant re-fitting costs after 40 years and discounted cash flows are insignificant after 40 years.</t>
  </si>
  <si>
    <t>Based on information of proposed plants.</t>
  </si>
  <si>
    <t>The projections here are assuming that with increased deployment and improved technology the values will improve within the range estimated.</t>
  </si>
  <si>
    <t>Bulb type turbines are commonly used for tidal impoundment plants. The value here is estimated based on efficiencies of bulb type water turbines.</t>
  </si>
  <si>
    <t>Considered as similar to Hydro</t>
  </si>
  <si>
    <t>Tidal power - Stream Type</t>
  </si>
  <si>
    <t>2,3,5</t>
  </si>
  <si>
    <t>1,2,3</t>
  </si>
  <si>
    <t>Ernst &amp; Young, “Cost of and financial support for wave, tidal stream and tidal range generation in the UK,” 2010.</t>
  </si>
  <si>
    <t>Ocean Energy Systems - OES (IEA), “International Levelised Cost of Energy for Ocean Energy Technologies,” 2015.</t>
  </si>
  <si>
    <t>SIMEC Atlantis Energy, Projects</t>
  </si>
  <si>
    <t>UK Govt., Electricity Generation Costs 2020 (back calculation from LCOE values)</t>
  </si>
  <si>
    <t>Projects are in the early stages os turbines and capacities are smaller. Larger projects are expected to be executed in smaller capacity phases.</t>
  </si>
  <si>
    <t>Estimated based on MeyGen tidal stream project</t>
  </si>
  <si>
    <t>IGCC</t>
  </si>
  <si>
    <t>150-200</t>
  </si>
  <si>
    <t>Cold gas efficiency (%)</t>
  </si>
  <si>
    <t xml:space="preserve">- </t>
  </si>
  <si>
    <t>Ramping configuration</t>
  </si>
  <si>
    <t>10, 11</t>
  </si>
  <si>
    <t>15-80</t>
  </si>
  <si>
    <t>PM 2.5 (mg per Nm3)</t>
  </si>
  <si>
    <t>7,12</t>
  </si>
  <si>
    <t>9,12</t>
  </si>
  <si>
    <t>CO (g per GJ fuel)</t>
  </si>
  <si>
    <t>6,13</t>
  </si>
  <si>
    <t>MDPI, 2018, "Life Cycle Analysis of Integrated Gasification Combined Cycle Power Generation in the Context of Southeast Asia,"</t>
  </si>
  <si>
    <t>IEEFA, 2018,"Lezna IGCC Project: High Costs and Unreliable Operations Can Be Expected"</t>
  </si>
  <si>
    <t>Nevile Holt - EPRI, 2004,"Coal-based IGCC Plans - Recent Operating Experience and Lessons Learned"</t>
  </si>
  <si>
    <t>EFDA, 2013, "Review and Update of Power Sector"</t>
  </si>
  <si>
    <r>
      <rPr>
        <sz val="9"/>
        <rFont val="Times New Roman"/>
        <family val="1"/>
      </rPr>
      <t xml:space="preserve">Modern Power Systems, Increasing the flexibility of IGCC, </t>
    </r>
    <r>
      <rPr>
        <sz val="9"/>
        <rFont val="Calibri"/>
        <family val="2"/>
        <scheme val="minor"/>
      </rPr>
      <t>https://www.modernpowersystems.com/features/featureincreasing-flexibility-of-igcc-4893259/</t>
    </r>
  </si>
  <si>
    <t>Global CCS Institute, 2017,  "Global Costs of Carbon Capture and Storage"</t>
  </si>
  <si>
    <t>Michael A. Mac Kinnon, University of California, 2017, "The role of natural gas and its infrastructure in mitigating greenhouse gas emissions, improving regional air quality, and renewable resource integration"</t>
  </si>
  <si>
    <t>Deutsches Institut für Wirtschaftsforschung, On Start-up Costs of Thermal Power Plants in Markets with Increasing Shares of Fluctuating Renewables, 2016.</t>
  </si>
  <si>
    <t>United States Department of Energy National Energy Technology Laboratory, Gasification Plant Cost and Performance Optimization, 2002</t>
  </si>
  <si>
    <t>IEAGHG, Operating Flexibility of Power Plants with CCS</t>
  </si>
  <si>
    <t>EPRI, Increasing the Flexibility of IGCC Power Plants</t>
  </si>
  <si>
    <t>Koornneef J., 2011, Carbon Dioxide Capture and Air Quality</t>
  </si>
  <si>
    <t>NREL ATB 2020</t>
  </si>
  <si>
    <t>IGCCs use combined (gas) cycles to produce power. Their efficiency is higher for big plant sizes (economy of scale). Preliminary screenings in Sumatra and Kalimantan identify in 150-200 MW the IGCC size.</t>
  </si>
  <si>
    <t>The cold gas efficiency is the efficiency of the gasification unit</t>
  </si>
  <si>
    <t>Unplanned outages can be sizeable. These mainly concern corrosion and fouling in the heat exchangers, particularly the syngas coolers.</t>
  </si>
  <si>
    <t>It is assumed that improvements in the air sepration unit (ASU) and in the gasification unit boost the cycle's ramping capabilities in the coming years</t>
  </si>
  <si>
    <t>Start-up costs vary depending on the idle time. Warm-up of the gasification unit requires time and can be expensive, therefore start-up cost is higher than a CC plant.</t>
  </si>
  <si>
    <t xml:space="preserve">Start-up time is the necessary time to reach minimum load. It takes a long time for IGCC to reach full-load and it can vary depending on the specific technology, hence the wide range. </t>
  </si>
  <si>
    <t>The efficiency is strongly dependent on coal type. High-grade coal can lead to efficiencies of over 45%, but low-rank coal (3-4000 kcal/kg) used in Indonesia leads to lower efficiencies with today's technology.</t>
  </si>
  <si>
    <t>Price for one unit. An IGCC power plant consisting of two units can be considered to have a 10% lower overnight cost</t>
  </si>
  <si>
    <t>Subcritical coal power plant</t>
  </si>
  <si>
    <t>Pollution Prevention and Abatement Handbook, 1998: Toward Cleaner Production, Bind 777</t>
  </si>
  <si>
    <r>
      <t>PM 2.5 (mg per Nm</t>
    </r>
    <r>
      <rPr>
        <vertAlign val="superscript"/>
        <sz val="9"/>
        <rFont val="Times New Roman"/>
        <family val="1"/>
      </rPr>
      <t>3</t>
    </r>
    <r>
      <rPr>
        <sz val="9"/>
        <rFont val="Times New Roman"/>
        <family val="1"/>
      </rPr>
      <t>)</t>
    </r>
  </si>
  <si>
    <t>A,F</t>
  </si>
  <si>
    <t>2,4</t>
  </si>
  <si>
    <t>A,C,D</t>
  </si>
  <si>
    <t>A,D</t>
  </si>
  <si>
    <t>E,H</t>
  </si>
  <si>
    <t>1,3</t>
  </si>
  <si>
    <t>5</t>
  </si>
  <si>
    <t>Platts Utility Data Institute (UDI) World Electric Power Plant Database (WEPP)</t>
  </si>
  <si>
    <t>Maximum emission from Minister of Environment Regulation 21/2008</t>
  </si>
  <si>
    <t>Assumed gradidual improvement to international standard in 2050.</t>
  </si>
  <si>
    <t xml:space="preserve">Assumed no improvement for regulatory capability. </t>
  </si>
  <si>
    <t>Indonesian sulphur content in coal is up to 360 g/GJ. Conversion factor 0.35 to mg/Nm3 yields 1030 mg/Nm3. With a max of 750 mg/Nm3 then gives a % of desulphuring of 73%.</t>
  </si>
  <si>
    <t>Calculated from a max of 750 mg/Nm3 to g/GJ (conversion factor 0.35 from Pollution Prevention and Abatement Handbook, 1998)</t>
  </si>
  <si>
    <t>For economy of scale a proportionality factor, a, of 0.8 is suggested.</t>
  </si>
  <si>
    <t>Uncertainty Upper is from regulation. Lower is from current standards in Japan (2020) and South Korea (2050).</t>
  </si>
  <si>
    <t>Supercritical coal power plant</t>
  </si>
  <si>
    <t>1,3,6,7</t>
  </si>
  <si>
    <t>E,G,H</t>
  </si>
  <si>
    <t>For economy of scale a proportionality factor, a, of 0.85 is suggested.</t>
  </si>
  <si>
    <t>Ultra-supercritical coal power plant</t>
  </si>
  <si>
    <t>Supercritical coal power plant with CCS</t>
  </si>
  <si>
    <r>
      <t>CO</t>
    </r>
    <r>
      <rPr>
        <vertAlign val="subscript"/>
        <sz val="9"/>
        <rFont val="Times New Roman"/>
        <family val="1"/>
      </rPr>
      <t>2</t>
    </r>
    <r>
      <rPr>
        <sz val="9"/>
        <rFont val="Times New Roman"/>
        <family val="1"/>
      </rPr>
      <t xml:space="preserve"> emission reduction (%)</t>
    </r>
  </si>
  <si>
    <t>3,7</t>
  </si>
  <si>
    <t>+1.60</t>
  </si>
  <si>
    <t>+2.29</t>
  </si>
  <si>
    <t>+1.67</t>
  </si>
  <si>
    <t>2,5,9,10</t>
  </si>
  <si>
    <t>+13000</t>
  </si>
  <si>
    <t>+50000</t>
  </si>
  <si>
    <t>1,7,9</t>
  </si>
  <si>
    <t>+3.10</t>
  </si>
  <si>
    <t>+2.50</t>
  </si>
  <si>
    <t>+8.20</t>
  </si>
  <si>
    <t>Global CCS Institute, Global costs of carbon capture and storage, 2017</t>
  </si>
  <si>
    <t>Zero emissions platform, The Costs of CO2 Capture, Transport and Storage</t>
  </si>
  <si>
    <t>EIA, 2016, Capital Cost Estimates for Utility Scale Electricity Generating Plants</t>
  </si>
  <si>
    <t>Utrecht University &amp; Energy Research Center of Netherlands, The flexibility requirements for power plants with CCS in a future energy system with a large share of intermitent renewable energy sources</t>
  </si>
  <si>
    <t>Danish Energy Agency, "Technology data - Generation of electricity and district heating", 2020</t>
  </si>
  <si>
    <t>IEA, Energy Technology Perspectives - Special Report on Carbon Capture, Utilisation and Storage, 2020.</t>
  </si>
  <si>
    <t>The difference in ouput power represents the additional power required by the auxiliary equipment (with CCS, ~15% of the net output).</t>
  </si>
  <si>
    <t>This figure represents the efficiency of the capture process. New technologies might remove CO2 more efficiently in the future. CO2 can be already captured at higher rates, but costs to marginally increase capture rates beyond the reported values are relatively high.</t>
  </si>
  <si>
    <t>In principle, ramping is not affected by the presence/absence of CCS.</t>
  </si>
  <si>
    <t>Minimum load is not affected by CCS. However, the CO2 compressor requires higher loads for smooth operability.</t>
  </si>
  <si>
    <t>The regeneration in the post-combustion unit has a start-up time comparable to that of the power plant.</t>
  </si>
  <si>
    <t>Natural Gas Combined Cycle with CCS</t>
  </si>
  <si>
    <t>-90</t>
  </si>
  <si>
    <t>3,6</t>
  </si>
  <si>
    <t>+0.85</t>
  </si>
  <si>
    <t>+1.56</t>
  </si>
  <si>
    <t>+0.60</t>
  </si>
  <si>
    <t>+1.02</t>
  </si>
  <si>
    <t>1,7,8</t>
  </si>
  <si>
    <t>+7000</t>
  </si>
  <si>
    <t>+14000</t>
  </si>
  <si>
    <t>+1.20</t>
  </si>
  <si>
    <t>+4.00</t>
  </si>
  <si>
    <t>The difference in ouput power represents the additional power required by the auxiliary equipment (with CCS, ~10-15% of the net output).</t>
  </si>
  <si>
    <t>IGCC with CCS</t>
  </si>
  <si>
    <t>4,7</t>
  </si>
  <si>
    <t>1,8,9</t>
  </si>
  <si>
    <t>+15000</t>
  </si>
  <si>
    <t>+5.30</t>
  </si>
  <si>
    <t>EPRI, 2015, Increasing the Flecibility of IGCC Power Plants</t>
  </si>
  <si>
    <t>Pre-combustion capture is assumed to cause a cost increase ranging between 30-50% of the IGCC price.</t>
  </si>
  <si>
    <t>Biomass power plant (smal plant - palm oil / rice husk )</t>
  </si>
  <si>
    <t>1,3,7</t>
  </si>
  <si>
    <t>8,10</t>
  </si>
  <si>
    <t>1,9</t>
  </si>
  <si>
    <t>B,C</t>
  </si>
  <si>
    <t>4-8,11</t>
  </si>
  <si>
    <t>4,5,8,11</t>
  </si>
  <si>
    <t>5,11</t>
  </si>
  <si>
    <t>ASEAN Centre of Energy, 2016, "Levelised cost of electricity generation of selected renewable energy technologies in the ASEAN member states".</t>
  </si>
  <si>
    <t>Danish Energy Agency and COWI, 2017, "Technology vatalogue for biomass to energy".</t>
  </si>
  <si>
    <t>IRENA, 2015, "Renewable power generation cost in 2014"</t>
  </si>
  <si>
    <t>IFC and BMF, 2017, "Converting biomass to energy - A guide for developmers and investors".</t>
  </si>
  <si>
    <t>OJK, 2014, "Clean Energy Handbook for Financial Service Institutions", Indonesia Financial Service Authority.</t>
  </si>
  <si>
    <t>IEA-ETSAP and IRENA, 2015, "Biomass for Heat and Power, Technology Brief".</t>
  </si>
  <si>
    <t>PKPPIM, 2014, "Analisis biaya dan manfaat pembiayaan investasi limbah menjadi energi melalui kredit program", Center for Climate Change and Multilateral
Policy Ministry of Finance Indonesia.</t>
  </si>
  <si>
    <t xml:space="preserve">India Central Electricity Authority, 2007, "Report on the Land Requirement of Thermal Power Stations". </t>
  </si>
  <si>
    <t>Biogas power plant</t>
  </si>
  <si>
    <t>3,5,8,9</t>
  </si>
  <si>
    <t>5,7,9</t>
  </si>
  <si>
    <t>6,9</t>
  </si>
  <si>
    <t>ASEAN Centre of Energy (2016). Levelised cost of electricity generation of selected renewable energy technologies in the ASEAN member states.</t>
  </si>
  <si>
    <t>Winrock, 2015, "Buku Panduan Konversi POME Menjadi Biogas, Pengembangan Proyek di Indonesia", USAID – Winrock International.</t>
  </si>
  <si>
    <t xml:space="preserve">RENAC, 2014, "Biogas Technology and Biomass, Renewables Academy (RENAC)". </t>
  </si>
  <si>
    <t>IFC and BMF, 2017, Converting biomass to energy - A guide for developmers and investors".</t>
  </si>
  <si>
    <t>Vuorinen, A., 2008, "Planning of Optimal Power Systems".</t>
  </si>
  <si>
    <t>Chazaro Gerbang Internasional, 2004, "Utilization of Biogas Generated from the Anaerobic Treatment of Palm Oil Mills Effluent (POME) as Indigenous Energy Source for Rural Energy Supply and Electrification - A Pre-Feasibility Study Report"</t>
  </si>
  <si>
    <t>Diesel engine (using fuel oil)</t>
  </si>
  <si>
    <t xml:space="preserve"> </t>
  </si>
  <si>
    <t>0.05</t>
  </si>
  <si>
    <t>0.3</t>
  </si>
  <si>
    <t>B, C</t>
  </si>
  <si>
    <t>3,4</t>
  </si>
  <si>
    <r>
      <t>SO</t>
    </r>
    <r>
      <rPr>
        <vertAlign val="subscript"/>
        <sz val="9"/>
        <rFont val="Times New Roman"/>
        <family val="1"/>
      </rPr>
      <t>2</t>
    </r>
    <r>
      <rPr>
        <sz val="9"/>
        <rFont val="Times New Roman"/>
        <family val="1"/>
      </rPr>
      <t xml:space="preserve"> (g per GJ fuel) </t>
    </r>
  </si>
  <si>
    <t xml:space="preserve">Wärtsila, 2011, "White paper Combustion engine power plants", Niklas Haga, General Manager, Marketing &amp; Business Development Power Plants </t>
  </si>
  <si>
    <t>Danish Energy Agency, 2016, "Technology Data for Energy Plants"</t>
  </si>
  <si>
    <t>Minister of Environment, Regulation 21/2008</t>
  </si>
  <si>
    <t>The International Council on Combustion Engines, 2008: Guide to diesel exhaust emissions control of NOx, SOx, particles, smoke and CO2</t>
  </si>
  <si>
    <t>http://www.bwsc.com/News---Press.aspx?ID=530&amp;PID=2281&amp;Action=1&amp;NewsId=206</t>
  </si>
  <si>
    <t>BWSC once again to deliver highly efficient power plant in the Faroe Islands.</t>
  </si>
  <si>
    <t>30 % minimum load per unit - corresponds to 6 % for total plant when consisting of 5 units</t>
  </si>
  <si>
    <t>Total particulate matter</t>
  </si>
  <si>
    <t>Typical diesel exhaut emission according to Ref 3 (average of interval) unless this number exceeds the maximum allowed emission according to Minister of Environment Regulation 21/2008. Both SO2 and particulates are dependant on the fuel composition.</t>
  </si>
  <si>
    <t>Combined Cycle Gas Turbine</t>
  </si>
  <si>
    <t>1,3,5,10</t>
  </si>
  <si>
    <t>7,8</t>
  </si>
  <si>
    <t>F,H</t>
  </si>
  <si>
    <t>1,3,10</t>
  </si>
  <si>
    <t>Siemens, 2010, "Flexible future for combined cycle".</t>
  </si>
  <si>
    <t>Danish Energy Agency, 2015, "Technology Catalogue on Power and Heat Generation".</t>
  </si>
  <si>
    <t>Soares, 2008, "Gas Turbines: A Handbook of Air, Land and Sea Applications".</t>
  </si>
  <si>
    <t>Calculated from a max of 400 mg/Nm3 to g/GJ (conversion factor 0.27 from Pollution Prevention and Abatement Handbook, 1998)</t>
  </si>
  <si>
    <t>Commercialised natural gas is practically sulphur free and produces virtually no sulphur dioxide</t>
  </si>
  <si>
    <t>Simple Cycle Gas Turbine - large system</t>
  </si>
  <si>
    <t>3,8</t>
  </si>
  <si>
    <t>F,G,H</t>
  </si>
  <si>
    <t>1-5</t>
  </si>
  <si>
    <t>The investment cost of an aero-derivative gas turbine will be in the higher end than an industrial gas turbine (ref. 5) . Roughly 50% higher.</t>
  </si>
  <si>
    <t>Incineration Power Plant - Municipal Solid Waste</t>
  </si>
  <si>
    <t xml:space="preserve">Nominal investment ( million $/MWe) </t>
  </si>
  <si>
    <t>Waste treatment capacity (tonnes/h)</t>
  </si>
  <si>
    <t>Danish Technology Catalogue “Technology Data for Energy Plants, Danish Energy Agency 2107</t>
  </si>
  <si>
    <t>Based on experience from the Netherlands where 30 % electric efficiency is achieve. 1 %-point efficiency subtracted to take into account higher temperature of cooling water in Indonesia (approx. +20 C).</t>
  </si>
  <si>
    <t xml:space="preserve">The investment cost is based on waste to energy CHP plant in Denmark, according to Ref 1. A waste treatment capacity of 27,7 tonnes/h is assumed and an energy content of 10,4 GJ/ton.  The specific finalcial data   is adjusted to reflect that the plant in Indonesia runs in condensing mode and hence the electric  capacity (MWe) is higher than for a combined heat and power, backpressure plant with the same treatment capacity. </t>
  </si>
  <si>
    <t>Calculated from size, fuel efficiency and an average calory value for waste of 9.7 GJ/ton.</t>
  </si>
  <si>
    <t>Landfill Gas Power Plant - Municipal Solid Waste</t>
  </si>
  <si>
    <t>OJK, 2014, "Clean Energy Handbook for Financial Service Institutions", Indonesia Financial Service Authority, Jakarta, Indonesia</t>
  </si>
  <si>
    <t>Renewables Academy" (RENAC) AG, 2014, "Biogas Technology and Biomass", Berlin, Germany.</t>
  </si>
  <si>
    <t>IEA-ETSAP and IRENA, 2015. "Biomass for Heat and Power, Technology Brief".</t>
  </si>
  <si>
    <t>MEMR, 2015, "Waste to Energy Guidebook", Jakarta, Indonesia.</t>
  </si>
  <si>
    <t>Uncertainty (Upper/Lower) is estimated as +/- 10-15%.</t>
  </si>
  <si>
    <t>Batteries - Lithium-ion (utility-scale)</t>
  </si>
  <si>
    <t>Energy storage capacity for one unit (MWh)</t>
  </si>
  <si>
    <t>A,B</t>
  </si>
  <si>
    <t>Energy/Power ratio (hours)</t>
  </si>
  <si>
    <t>Discharge time (hours)</t>
  </si>
  <si>
    <t>Round-trip efficiency (%) AC</t>
  </si>
  <si>
    <t>3,12</t>
  </si>
  <si>
    <t>Round-trip efficiency (%) DC</t>
  </si>
  <si>
    <t>Self-discharge rate (%/day)</t>
  </si>
  <si>
    <t>Technical lifetime (cycles)</t>
  </si>
  <si>
    <t>Energy density (Wh/kg)</t>
  </si>
  <si>
    <t>Response time from idle to full-rated discharge (ms)</t>
  </si>
  <si>
    <t xml:space="preserve">Nominal investment (MUSD/MWh) </t>
  </si>
  <si>
    <t>- energy component (MUSD/MWh)</t>
  </si>
  <si>
    <t>- power component (MUSD/MW)</t>
  </si>
  <si>
    <t>9,10,11</t>
  </si>
  <si>
    <t>- other project costs (MUSD/MWh)</t>
  </si>
  <si>
    <t>N</t>
  </si>
  <si>
    <t>Fixed O&amp;M (USD/MWh/year)</t>
  </si>
  <si>
    <t xml:space="preserve">Variable O&amp;M (USD/MWh) </t>
  </si>
  <si>
    <t>Energy storage expansion cost (MUSD/MWh)</t>
  </si>
  <si>
    <t>B,F</t>
  </si>
  <si>
    <t>Output capacity expansion cost (MUSD/MW)</t>
  </si>
  <si>
    <t>Samsung. ESS Batteries by Samsung SDI Top Safety &amp; Reliability Solutions, (2018). http://www.samsungsdi.com/upload/ess_brochure/201809_SamsungSDI ESS_EN.pdf</t>
  </si>
  <si>
    <t>Samsung, Smart Battery Systems for Energy Storage, (2016). http://www.samsungsdi.com/upload/ess_brochure/Samsung SDI brochure_EN.pdf</t>
  </si>
  <si>
    <t>L. Kokam Co. Total Energy Storage Solution Provider, (2018). http://kokam.com/data/2018_Kokam_ESS_Brochure_ver_5.0.pdf</t>
  </si>
  <si>
    <t>Fan Xiayue, "Battery technologies for grid-level large-scale electrical energy storage", Transactions of Tianjin University, Springer, 2020.</t>
  </si>
  <si>
    <t>Environmental end energy study institute, Energy storage factsheet, https://www.eesi.org/papers/view/energy-storage-2019.</t>
  </si>
  <si>
    <t>D.M. Greenwood, K.Y. Lim, C. Patsios, P.F. Lyons, Y.S. Lim, P.C. Taylor, Frequency response services designed for energy storage, Appl. Energy. 203 (2017) 115–127.</t>
  </si>
  <si>
    <t>Bloomberg New Energy Finance. New Energy Outlook 2019, 2019.</t>
  </si>
  <si>
    <t>International Renewable Energy Agency. IRENA Battery Storage Report, (2015). http://www.irena.org/-/media/Files/IRENA/Agency/Publication/2015/IRENA_Battery_Storage_report_2015.pdf</t>
  </si>
  <si>
    <t>R. Benato, G. Bruno, F. Palone, R.M. Polito, M. Rebolini, Large-scale electrochemical energy storage in high voltage grids: Overview of the Italian experience, Energies. 10 (2017) 1-17.</t>
  </si>
  <si>
    <t>B. Zakeri, S. Syri, Electrical energy storage systems: A comparative life cycle cost analysis, Renew. Sustain. Energy Rev. 42 (2015) 569–596.</t>
  </si>
  <si>
    <t>G. Huff, A.B. Currier, B.C. Kaun, D.M. Rastler, S.B. Chen, D.T. Bradshaw, W.D. Gauntlett, DOE/EPRI electricity storage handbook in collaboration with NRECA, (2015).</t>
  </si>
  <si>
    <t>Lazard, Lazard's Levelized Cost of Storage (2019).</t>
  </si>
  <si>
    <t>IEA, World Energy Outlook 2019, 2019.</t>
  </si>
  <si>
    <t>One unit defined as a 40 feet container including LIB system and excluding power conversion system. Values are taken from Samsung SDI brochures for grid-connected LIBs from 2016 and 2018 [2,14]. Units with C-rates below/above 1 are possible, depending on the system needs and cost of the energy and power rating components. A C-rate of 1 is here assumed for 2020, as it is close to several new installations.</t>
  </si>
  <si>
    <t xml:space="preserve">Power and energy output can be scaled linearly by utilizing many modules (up to 100MW has been demonstrated). Output capacity expansion can be done reprogramming the management unit without any new battery module. </t>
  </si>
  <si>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</si>
  <si>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Samsung SDI 2016 whitepaper on ESS solutions provide 15 year lifetime for current modules operating at C/2 to 3C. Steady improvement in battery lifetime due to better materials and battery management expected. Number of cycles can be a more meaningful lifetime indicator.</t>
  </si>
  <si>
    <t>The discharge time is the amount of hours the battery can discharge at rated output capacity. It equals the Energy/Power ratio corrected for the discharge efficiency.</t>
  </si>
  <si>
    <t>Since multi-MWh LIB systems are scalar, the energy and outputr capacity expansion costs are here estimated to be equal to the energy and output capacity components plus the “other costs”</t>
  </si>
  <si>
    <t>Power conversion cost is strongly dependent on scalability and application.</t>
  </si>
  <si>
    <t>Cost per MWh of energy discharged from the battery</t>
  </si>
  <si>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</sst>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0.0"/>
    <numFmt numFmtId="165" formatCode="#,##0.0"/>
    <numFmt numFmtId="166" formatCode="0.000"/>
    <numFmt numFmtId="167" formatCode="0.0%"/>
    <numFmt numFmtId="168" formatCode="&quot;kr.&quot;\ #,##0.00;[Red]&quot;kr.&quot;\ \-#,##0.00"/>
    <numFmt numFmtId="169" formatCode="&quot;kr.&quot;\ #,##0;[Red]&quot;kr.&quot;\ \-#,##0"/>
    <numFmt numFmtId="170" formatCode="#,##0;\-#,##0;&quot;-&quot;;@"/>
    <numFmt numFmtId="171" formatCode="0.00000"/>
    <numFmt numFmtId="172" formatCode="\+0;\-0;0"/>
    <numFmt numFmtId="173" formatCode="0.0000"/>
    <numFmt numFmtId="174" formatCode="\+0.00;\-0.00;0.00"/>
    <numFmt numFmtId="175" formatCode="\+0.0;\-0.0;0.0"/>
    <numFmt numFmtId="176" formatCode="_-* #,##0.00_-;\-* #,##0.00_-;_-* &quot;-&quot;??_-;_-@_-"/>
    <numFmt numFmtId="177" formatCode="#,##0.000000"/>
    <numFmt numFmtId="178" formatCode="#,##0.000"/>
  </numFmts>
  <fonts count="28" x14ac:knownFonts="1">
    <font>
      <sz val="11"/>
      <color theme="1"/>
      <name val="Calibri"/>
      <family val="2"/>
      <scheme val="minor"/>
    </font>
    <font>
      <sz val="11"/>
      <color theme="1"/>
      <name val="Calibri"/>
      <family val="2"/>
      <scheme val="minor"/>
    </font>
    <font>
      <sz val="9"/>
      <name val="Times New Roman"/>
      <family val="1"/>
    </font>
    <font>
      <b/>
      <sz val="16"/>
      <name val="Times New Roman"/>
      <family val="1"/>
    </font>
    <font>
      <b/>
      <sz val="9"/>
      <name val="Times New Roman"/>
      <family val="1"/>
    </font>
    <font>
      <sz val="11"/>
      <color theme="1"/>
      <name val="Times New Roman"/>
      <family val="1"/>
    </font>
    <font>
      <b/>
      <sz val="10"/>
      <name val="Times New Roman"/>
      <family val="1"/>
    </font>
    <font>
      <sz val="10"/>
      <name val="Times New Roman"/>
      <family val="1"/>
    </font>
    <font>
      <vertAlign val="subscript"/>
      <sz val="9"/>
      <name val="Times New Roman"/>
      <family val="1"/>
    </font>
    <font>
      <vertAlign val="superscript"/>
      <sz val="9"/>
      <name val="Times New Roman"/>
      <family val="1"/>
    </font>
    <font>
      <b/>
      <i/>
      <sz val="10"/>
      <name val="Times New Roman"/>
      <family val="1"/>
    </font>
    <font>
      <sz val="9"/>
      <name val="Arial"/>
      <family val="2"/>
    </font>
    <font>
      <b/>
      <sz val="11"/>
      <color theme="1"/>
      <name val="Times New Roman"/>
      <family val="1"/>
    </font>
    <font>
      <i/>
      <sz val="9"/>
      <color theme="1"/>
      <name val="Times New Roman"/>
      <family val="1"/>
    </font>
    <font>
      <u/>
      <sz val="11"/>
      <color theme="10"/>
      <name val="Calibri"/>
      <family val="2"/>
      <scheme val="minor"/>
    </font>
    <font>
      <u/>
      <sz val="9"/>
      <color theme="10"/>
      <name val="Times New Roman"/>
      <family val="1"/>
    </font>
    <font>
      <vertAlign val="superscript"/>
      <sz val="11"/>
      <color theme="1"/>
      <name val="Calibri"/>
      <family val="1"/>
      <scheme val="minor"/>
    </font>
    <font>
      <sz val="11"/>
      <color theme="1"/>
      <name val="Calibri"/>
      <family val="1"/>
      <scheme val="minor"/>
    </font>
    <font>
      <b/>
      <i/>
      <sz val="9"/>
      <name val="Times New Roman"/>
      <family val="1"/>
    </font>
    <font>
      <sz val="9"/>
      <name val="Calibri"/>
      <family val="1"/>
      <scheme val="minor"/>
    </font>
    <font>
      <sz val="9"/>
      <name val="Calibri"/>
      <family val="2"/>
      <scheme val="minor"/>
    </font>
    <font>
      <sz val="9"/>
      <color theme="1"/>
      <name val="Times New Roman"/>
      <family val="1"/>
    </font>
    <font>
      <sz val="10"/>
      <color theme="1"/>
      <name val="Times New Roman"/>
      <family val="1"/>
    </font>
    <font>
      <sz val="9"/>
      <color rgb="FF000000"/>
      <name val="Times New Roman"/>
      <family val="1"/>
    </font>
    <font>
      <sz val="9"/>
      <color theme="1"/>
      <name val="Calibri"/>
      <family val="2"/>
      <scheme val="minor"/>
    </font>
    <font>
      <b/>
      <sz val="8"/>
      <color theme="1"/>
      <name val="Arial"/>
      <family val="2"/>
    </font>
    <font>
      <sz val="8"/>
      <color theme="1"/>
      <name val="Arial"/>
      <family val="2"/>
    </font>
    <font>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7">
    <xf numFmtId="0" fontId="0" fillId="0" borderId="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4" fillId="0" borderId="0" applyNumberFormat="0" applyFill="0" applyBorder="0" applyAlignment="0" applyProtection="0"/>
    <xf numFmtId="176" fontId="1" fillId="0" borderId="0" applyFont="0" applyFill="0" applyBorder="0" applyAlignment="0" applyProtection="0"/>
  </cellStyleXfs>
  <cellXfs count="277">
    <xf numFmtId="0" fontId="0" fillId="0" borderId="0" xfId="0"/>
    <xf numFmtId="0" fontId="2" fillId="2" borderId="0" xfId="1" applyFont="1" applyFill="1"/>
    <xf numFmtId="0" fontId="3" fillId="2" borderId="0" xfId="1" applyFont="1" applyFill="1"/>
    <xf numFmtId="0" fontId="4" fillId="2" borderId="0" xfId="1" applyFont="1" applyFill="1"/>
    <xf numFmtId="0" fontId="5" fillId="2" borderId="0" xfId="1" applyFont="1" applyFill="1"/>
    <xf numFmtId="0" fontId="6" fillId="2" borderId="1" xfId="1" applyFont="1" applyFill="1" applyBorder="1" applyAlignment="1">
      <alignment vertical="top" wrapText="1"/>
    </xf>
    <xf numFmtId="0" fontId="2" fillId="2" borderId="5" xfId="1" applyFont="1" applyFill="1" applyBorder="1" applyAlignment="1">
      <alignment vertical="top" wrapText="1"/>
    </xf>
    <xf numFmtId="0" fontId="6" fillId="2" borderId="6" xfId="1" applyFont="1" applyFill="1" applyBorder="1" applyAlignment="1">
      <alignment horizontal="center" vertical="top" wrapText="1"/>
    </xf>
    <xf numFmtId="0" fontId="7" fillId="2" borderId="0" xfId="1" applyFont="1" applyFill="1" applyAlignment="1">
      <alignment vertical="top" wrapText="1"/>
    </xf>
    <xf numFmtId="0" fontId="6" fillId="2" borderId="0" xfId="1" applyFont="1" applyFill="1" applyAlignment="1">
      <alignment horizontal="center" vertical="top" wrapText="1"/>
    </xf>
    <xf numFmtId="0" fontId="6" fillId="2" borderId="2" xfId="1" applyFont="1" applyFill="1" applyBorder="1" applyAlignment="1">
      <alignment vertical="top" wrapText="1"/>
    </xf>
    <xf numFmtId="0" fontId="6" fillId="2" borderId="3" xfId="1" applyFont="1" applyFill="1" applyBorder="1" applyAlignment="1">
      <alignment vertical="top" wrapText="1"/>
    </xf>
    <xf numFmtId="0" fontId="6" fillId="2" borderId="4" xfId="1" applyFont="1" applyFill="1" applyBorder="1" applyAlignment="1">
      <alignment vertical="top" wrapText="1"/>
    </xf>
    <xf numFmtId="0" fontId="2" fillId="2" borderId="1" xfId="1" applyFont="1" applyFill="1" applyBorder="1" applyAlignment="1">
      <alignment vertical="center" wrapText="1"/>
    </xf>
    <xf numFmtId="164" fontId="2" fillId="2" borderId="2" xfId="1" applyNumberFormat="1" applyFont="1" applyFill="1" applyBorder="1" applyAlignment="1">
      <alignment horizontal="center" vertical="center"/>
    </xf>
    <xf numFmtId="0" fontId="2" fillId="2" borderId="1"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0" xfId="1" applyFont="1" applyFill="1" applyAlignment="1">
      <alignment vertical="top" wrapText="1"/>
    </xf>
    <xf numFmtId="0" fontId="2" fillId="2" borderId="0" xfId="1" applyFont="1" applyFill="1" applyAlignment="1">
      <alignment horizontal="center" vertical="top" wrapText="1"/>
    </xf>
    <xf numFmtId="0" fontId="2" fillId="2" borderId="7" xfId="1" applyFont="1" applyFill="1" applyBorder="1" applyAlignment="1">
      <alignment vertical="center" wrapText="1"/>
    </xf>
    <xf numFmtId="0" fontId="2" fillId="2" borderId="5" xfId="1" applyFont="1" applyFill="1" applyBorder="1" applyAlignment="1">
      <alignment horizontal="center" vertical="center" wrapText="1"/>
    </xf>
    <xf numFmtId="0" fontId="2" fillId="2" borderId="0" xfId="1" quotePrefix="1" applyFont="1" applyFill="1" applyAlignment="1">
      <alignment horizontal="center" vertical="top" wrapText="1"/>
    </xf>
    <xf numFmtId="0" fontId="2" fillId="2" borderId="5" xfId="1" applyFont="1" applyFill="1" applyBorder="1" applyAlignment="1">
      <alignment vertical="center" wrapText="1"/>
    </xf>
    <xf numFmtId="0" fontId="2" fillId="2" borderId="8" xfId="1" applyFont="1" applyFill="1" applyBorder="1" applyAlignment="1">
      <alignment vertical="center" wrapText="1"/>
    </xf>
    <xf numFmtId="0" fontId="6" fillId="2" borderId="2" xfId="1" applyFont="1" applyFill="1" applyBorder="1" applyAlignment="1">
      <alignment horizontal="left" vertical="center" wrapText="1"/>
    </xf>
    <xf numFmtId="0" fontId="6" fillId="2" borderId="3" xfId="1" quotePrefix="1" applyFont="1" applyFill="1" applyBorder="1" applyAlignment="1">
      <alignment vertical="center" wrapText="1"/>
    </xf>
    <xf numFmtId="0" fontId="6" fillId="2" borderId="3" xfId="1" quotePrefix="1" applyFont="1" applyFill="1" applyBorder="1" applyAlignment="1">
      <alignment horizontal="center" vertical="center" wrapText="1"/>
    </xf>
    <xf numFmtId="0" fontId="6" fillId="2" borderId="4" xfId="1" quotePrefix="1" applyFont="1" applyFill="1" applyBorder="1" applyAlignment="1">
      <alignment horizontal="center" vertical="center" wrapText="1"/>
    </xf>
    <xf numFmtId="0" fontId="6" fillId="2" borderId="3" xfId="1" applyFont="1" applyFill="1" applyBorder="1" applyAlignment="1">
      <alignment horizontal="left" vertical="center" wrapText="1"/>
    </xf>
    <xf numFmtId="0" fontId="6" fillId="2" borderId="4" xfId="1" applyFont="1" applyFill="1" applyBorder="1" applyAlignment="1">
      <alignment horizontal="left" vertical="center" wrapText="1"/>
    </xf>
    <xf numFmtId="164" fontId="2" fillId="2" borderId="6" xfId="1" applyNumberFormat="1" applyFont="1" applyFill="1" applyBorder="1" applyAlignment="1">
      <alignment horizontal="center" vertical="center" wrapText="1"/>
    </xf>
    <xf numFmtId="1" fontId="2" fillId="2" borderId="1" xfId="1" applyNumberFormat="1" applyFont="1" applyFill="1" applyBorder="1" applyAlignment="1">
      <alignment horizontal="center" vertical="center" wrapText="1"/>
    </xf>
    <xf numFmtId="166" fontId="2" fillId="2" borderId="6" xfId="1" applyNumberFormat="1" applyFont="1" applyFill="1" applyBorder="1" applyAlignment="1">
      <alignment horizontal="center" vertical="center" wrapText="1"/>
    </xf>
    <xf numFmtId="164" fontId="2" fillId="2" borderId="0" xfId="1" applyNumberFormat="1" applyFont="1" applyFill="1" applyAlignment="1">
      <alignment horizontal="center" vertical="top" wrapText="1"/>
    </xf>
    <xf numFmtId="0" fontId="4" fillId="2" borderId="0" xfId="1" applyFont="1" applyFill="1" applyAlignment="1">
      <alignment horizontal="left" vertical="center"/>
    </xf>
    <xf numFmtId="2" fontId="2" fillId="2" borderId="0" xfId="1" applyNumberFormat="1" applyFont="1" applyFill="1" applyAlignment="1">
      <alignment horizontal="center" vertical="top" wrapText="1"/>
    </xf>
    <xf numFmtId="3" fontId="2" fillId="2" borderId="1" xfId="1" applyNumberFormat="1" applyFont="1" applyFill="1" applyBorder="1" applyAlignment="1">
      <alignment horizontal="center" vertical="center" wrapText="1"/>
    </xf>
    <xf numFmtId="0" fontId="6" fillId="2" borderId="2" xfId="1" applyFont="1" applyFill="1" applyBorder="1" applyAlignment="1">
      <alignment vertical="center" wrapText="1"/>
    </xf>
    <xf numFmtId="0" fontId="6" fillId="2" borderId="3" xfId="1" applyFont="1" applyFill="1" applyBorder="1" applyAlignment="1">
      <alignment vertical="center" wrapText="1"/>
    </xf>
    <xf numFmtId="0" fontId="6" fillId="2" borderId="4" xfId="1" applyFont="1" applyFill="1" applyBorder="1" applyAlignment="1">
      <alignment vertical="center" wrapText="1"/>
    </xf>
    <xf numFmtId="0" fontId="2" fillId="2" borderId="0" xfId="1" applyFont="1" applyFill="1" applyAlignment="1">
      <alignment horizontal="center"/>
    </xf>
    <xf numFmtId="0" fontId="2" fillId="2" borderId="0" xfId="1" applyFont="1" applyFill="1" applyAlignment="1">
      <alignment horizontal="right"/>
    </xf>
    <xf numFmtId="0" fontId="10" fillId="2" borderId="2" xfId="1" applyFont="1" applyFill="1" applyBorder="1" applyAlignment="1">
      <alignment horizontal="left" vertical="center" wrapText="1"/>
    </xf>
    <xf numFmtId="0" fontId="10" fillId="2" borderId="3" xfId="1" quotePrefix="1" applyFont="1" applyFill="1" applyBorder="1" applyAlignment="1">
      <alignment vertical="center" wrapText="1"/>
    </xf>
    <xf numFmtId="0" fontId="10" fillId="2" borderId="3" xfId="1" quotePrefix="1" applyFont="1" applyFill="1" applyBorder="1" applyAlignment="1">
      <alignment horizontal="center" vertical="center" wrapText="1"/>
    </xf>
    <xf numFmtId="0" fontId="10" fillId="2" borderId="4" xfId="1" quotePrefix="1" applyFont="1" applyFill="1" applyBorder="1" applyAlignment="1">
      <alignment horizontal="center" vertical="center" wrapText="1"/>
    </xf>
    <xf numFmtId="0" fontId="2" fillId="2" borderId="1" xfId="1" quotePrefix="1" applyFont="1" applyFill="1" applyBorder="1" applyAlignment="1">
      <alignment horizontal="center" vertical="center" wrapText="1"/>
    </xf>
    <xf numFmtId="1" fontId="2" fillId="2" borderId="2" xfId="1" applyNumberFormat="1" applyFont="1" applyFill="1" applyBorder="1" applyAlignment="1">
      <alignment horizontal="center" vertical="center"/>
    </xf>
    <xf numFmtId="3" fontId="2" fillId="2" borderId="1" xfId="3" applyNumberFormat="1" applyFont="1" applyFill="1" applyBorder="1" applyAlignment="1">
      <alignment horizontal="center" vertical="center" wrapText="1"/>
    </xf>
    <xf numFmtId="2" fontId="2" fillId="2" borderId="2" xfId="1" applyNumberFormat="1" applyFont="1" applyFill="1" applyBorder="1" applyAlignment="1">
      <alignment horizontal="center" vertical="center"/>
    </xf>
    <xf numFmtId="0" fontId="2" fillId="2" borderId="6" xfId="1" quotePrefix="1" applyFont="1" applyFill="1" applyBorder="1" applyAlignment="1">
      <alignment horizontal="center" vertical="center" wrapText="1"/>
    </xf>
    <xf numFmtId="4" fontId="2" fillId="2" borderId="1" xfId="1" applyNumberFormat="1" applyFont="1" applyFill="1" applyBorder="1" applyAlignment="1">
      <alignment horizontal="center" vertical="center" wrapText="1"/>
    </xf>
    <xf numFmtId="0" fontId="2" fillId="2" borderId="0" xfId="1" applyFont="1" applyFill="1" applyAlignment="1">
      <alignment horizontal="right" vertical="top"/>
    </xf>
    <xf numFmtId="0" fontId="2" fillId="2" borderId="0" xfId="1" applyFont="1" applyFill="1" applyAlignment="1">
      <alignment vertical="top"/>
    </xf>
    <xf numFmtId="3" fontId="2" fillId="2" borderId="6" xfId="1" applyNumberFormat="1" applyFont="1" applyFill="1" applyBorder="1" applyAlignment="1">
      <alignment horizontal="center" vertical="center" wrapText="1"/>
    </xf>
    <xf numFmtId="1" fontId="6" fillId="2" borderId="3" xfId="1" applyNumberFormat="1" applyFont="1" applyFill="1" applyBorder="1" applyAlignment="1">
      <alignment horizontal="left" vertical="center" wrapText="1"/>
    </xf>
    <xf numFmtId="9" fontId="2" fillId="2" borderId="1" xfId="3" applyFont="1" applyFill="1" applyBorder="1" applyAlignment="1">
      <alignment horizontal="center" vertical="center" wrapText="1"/>
    </xf>
    <xf numFmtId="165" fontId="2" fillId="2" borderId="1" xfId="3" applyNumberFormat="1" applyFont="1" applyFill="1" applyBorder="1" applyAlignment="1">
      <alignment horizontal="center" vertical="center" wrapText="1"/>
    </xf>
    <xf numFmtId="4" fontId="2" fillId="2" borderId="1" xfId="3" applyNumberFormat="1" applyFont="1" applyFill="1" applyBorder="1" applyAlignment="1">
      <alignment horizontal="center" vertical="center" wrapText="1"/>
    </xf>
    <xf numFmtId="0" fontId="2" fillId="2" borderId="0" xfId="1" applyFont="1" applyFill="1" applyAlignment="1">
      <alignment horizontal="right" vertical="center"/>
    </xf>
    <xf numFmtId="17" fontId="4" fillId="2" borderId="0" xfId="1" quotePrefix="1" applyNumberFormat="1" applyFont="1" applyFill="1" applyAlignment="1">
      <alignment horizontal="center" vertical="top" wrapText="1"/>
    </xf>
    <xf numFmtId="0" fontId="5" fillId="2" borderId="0" xfId="1" applyFont="1" applyFill="1" applyAlignment="1">
      <alignment vertical="top" wrapText="1"/>
    </xf>
    <xf numFmtId="0" fontId="6" fillId="2" borderId="3" xfId="1" applyFont="1" applyFill="1" applyBorder="1" applyAlignment="1">
      <alignment horizontal="center" vertical="top" wrapText="1"/>
    </xf>
    <xf numFmtId="0" fontId="6" fillId="2" borderId="0" xfId="1" applyFont="1" applyFill="1" applyAlignment="1">
      <alignment vertical="top" wrapText="1"/>
    </xf>
    <xf numFmtId="2" fontId="2" fillId="2" borderId="1" xfId="1" applyNumberFormat="1" applyFont="1" applyFill="1" applyBorder="1" applyAlignment="1">
      <alignment horizontal="center" vertical="center" wrapText="1"/>
    </xf>
    <xf numFmtId="0" fontId="2" fillId="2" borderId="0" xfId="1" applyFont="1" applyFill="1" applyAlignment="1">
      <alignment horizontal="left" vertical="top" wrapText="1"/>
    </xf>
    <xf numFmtId="0" fontId="2" fillId="2" borderId="5" xfId="1" quotePrefix="1" applyFont="1" applyFill="1" applyBorder="1" applyAlignment="1">
      <alignment horizontal="center" vertical="center" wrapText="1"/>
    </xf>
    <xf numFmtId="1" fontId="2" fillId="2" borderId="1" xfId="1" quotePrefix="1" applyNumberFormat="1" applyFont="1" applyFill="1" applyBorder="1" applyAlignment="1">
      <alignment horizontal="center" vertical="center" wrapText="1"/>
    </xf>
    <xf numFmtId="1" fontId="2" fillId="2" borderId="1" xfId="1" applyNumberFormat="1" applyFont="1" applyFill="1" applyBorder="1" applyAlignment="1">
      <alignment horizontal="center" vertical="center"/>
    </xf>
    <xf numFmtId="164" fontId="2" fillId="2" borderId="1" xfId="1" applyNumberFormat="1" applyFont="1" applyFill="1" applyBorder="1" applyAlignment="1">
      <alignment horizontal="center" vertical="center"/>
    </xf>
    <xf numFmtId="2" fontId="2" fillId="2" borderId="1" xfId="1" quotePrefix="1" applyNumberFormat="1" applyFont="1" applyFill="1" applyBorder="1" applyAlignment="1">
      <alignment horizontal="center" vertical="center" wrapText="1"/>
    </xf>
    <xf numFmtId="164" fontId="2" fillId="2" borderId="1" xfId="1" applyNumberFormat="1" applyFont="1" applyFill="1" applyBorder="1" applyAlignment="1">
      <alignment horizontal="center" vertical="center" wrapText="1"/>
    </xf>
    <xf numFmtId="0" fontId="5" fillId="2" borderId="0" xfId="1" applyFont="1" applyFill="1" applyAlignment="1">
      <alignment vertical="top"/>
    </xf>
    <xf numFmtId="164" fontId="2" fillId="2" borderId="1" xfId="1" quotePrefix="1" applyNumberFormat="1" applyFont="1" applyFill="1" applyBorder="1" applyAlignment="1">
      <alignment horizontal="center" vertical="center" wrapText="1"/>
    </xf>
    <xf numFmtId="0" fontId="7" fillId="2" borderId="8" xfId="1" applyFont="1" applyFill="1" applyBorder="1" applyAlignment="1">
      <alignment horizontal="left" vertical="center" wrapText="1"/>
    </xf>
    <xf numFmtId="0" fontId="2" fillId="2" borderId="0" xfId="1" applyFont="1" applyFill="1" applyAlignment="1">
      <alignment horizontal="left" vertical="top"/>
    </xf>
    <xf numFmtId="2" fontId="2" fillId="0" borderId="2" xfId="1" applyNumberFormat="1" applyFont="1" applyBorder="1" applyAlignment="1">
      <alignment horizontal="center" vertical="center"/>
    </xf>
    <xf numFmtId="4" fontId="2" fillId="0" borderId="1" xfId="1" applyNumberFormat="1" applyFont="1" applyBorder="1" applyAlignment="1">
      <alignment horizontal="center" vertical="center" wrapText="1"/>
    </xf>
    <xf numFmtId="0" fontId="2" fillId="0" borderId="6" xfId="1" applyFont="1" applyBorder="1" applyAlignment="1">
      <alignment horizontal="center" vertical="center" wrapText="1"/>
    </xf>
    <xf numFmtId="0" fontId="2" fillId="0" borderId="6" xfId="1" quotePrefix="1" applyFont="1" applyBorder="1" applyAlignment="1">
      <alignment horizontal="center" vertical="center" wrapText="1"/>
    </xf>
    <xf numFmtId="9" fontId="2" fillId="0" borderId="1" xfId="3" applyFont="1" applyFill="1" applyBorder="1" applyAlignment="1">
      <alignment horizontal="center" vertical="center" wrapText="1"/>
    </xf>
    <xf numFmtId="165" fontId="2" fillId="0" borderId="1" xfId="1" applyNumberFormat="1" applyFont="1" applyBorder="1" applyAlignment="1">
      <alignment horizontal="center" vertical="center" wrapText="1"/>
    </xf>
    <xf numFmtId="3" fontId="2" fillId="0" borderId="1" xfId="3" applyNumberFormat="1" applyFont="1" applyFill="1" applyBorder="1" applyAlignment="1">
      <alignment horizontal="center" vertical="center" wrapText="1"/>
    </xf>
    <xf numFmtId="3" fontId="2" fillId="0" borderId="1" xfId="1" applyNumberFormat="1" applyFont="1" applyBorder="1" applyAlignment="1">
      <alignment horizontal="center" vertical="center" wrapText="1"/>
    </xf>
    <xf numFmtId="0" fontId="11" fillId="0" borderId="1" xfId="0" applyFont="1" applyBorder="1" applyAlignment="1">
      <alignment horizontal="center" vertical="center"/>
    </xf>
    <xf numFmtId="1" fontId="2" fillId="0" borderId="2" xfId="1" applyNumberFormat="1" applyFont="1" applyBorder="1" applyAlignment="1">
      <alignment horizontal="center" vertical="center"/>
    </xf>
    <xf numFmtId="0" fontId="4" fillId="2" borderId="2" xfId="1" applyFont="1" applyFill="1" applyBorder="1" applyAlignment="1">
      <alignment vertical="center" wrapText="1"/>
    </xf>
    <xf numFmtId="0" fontId="4" fillId="0" borderId="3" xfId="1" applyFont="1" applyBorder="1" applyAlignment="1">
      <alignment vertical="center" wrapText="1"/>
    </xf>
    <xf numFmtId="0" fontId="4" fillId="0" borderId="4" xfId="1" applyFont="1" applyBorder="1" applyAlignment="1">
      <alignment vertical="center" wrapText="1"/>
    </xf>
    <xf numFmtId="0" fontId="2" fillId="0" borderId="1" xfId="0" applyFont="1" applyBorder="1" applyAlignment="1">
      <alignment vertical="center" wrapText="1"/>
    </xf>
    <xf numFmtId="3"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3" fontId="2" fillId="0" borderId="6" xfId="1"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167" fontId="2" fillId="0" borderId="1" xfId="3" applyNumberFormat="1" applyFont="1" applyFill="1" applyBorder="1" applyAlignment="1">
      <alignment horizontal="center" vertical="center" wrapText="1"/>
    </xf>
    <xf numFmtId="9" fontId="2" fillId="0" borderId="1" xfId="0" applyNumberFormat="1" applyFont="1" applyBorder="1" applyAlignment="1">
      <alignment horizontal="center" vertical="center"/>
    </xf>
    <xf numFmtId="0" fontId="2" fillId="0" borderId="9" xfId="0" applyFont="1" applyBorder="1" applyAlignment="1">
      <alignment vertical="center" wrapText="1"/>
    </xf>
    <xf numFmtId="3" fontId="2" fillId="0" borderId="9" xfId="0" applyNumberFormat="1" applyFont="1" applyBorder="1" applyAlignment="1">
      <alignment horizontal="center" vertical="center" wrapText="1"/>
    </xf>
    <xf numFmtId="0" fontId="2" fillId="0" borderId="9" xfId="0" applyFont="1" applyBorder="1" applyAlignment="1">
      <alignment horizontal="center" vertical="center"/>
    </xf>
    <xf numFmtId="3" fontId="2" fillId="0" borderId="9" xfId="1" applyNumberFormat="1" applyFont="1" applyBorder="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3" fontId="2" fillId="0" borderId="3" xfId="1" applyNumberFormat="1" applyFont="1" applyBorder="1" applyAlignment="1">
      <alignment horizontal="center" vertical="center" wrapText="1"/>
    </xf>
    <xf numFmtId="0" fontId="2" fillId="0" borderId="5" xfId="0" applyFont="1" applyBorder="1" applyAlignment="1">
      <alignment vertical="center" wrapText="1"/>
    </xf>
    <xf numFmtId="3" fontId="2" fillId="0" borderId="5" xfId="0" applyNumberFormat="1" applyFont="1" applyBorder="1" applyAlignment="1">
      <alignment horizontal="center" vertical="center" wrapText="1"/>
    </xf>
    <xf numFmtId="0" fontId="2" fillId="0" borderId="5" xfId="0" applyFont="1" applyBorder="1" applyAlignment="1">
      <alignment horizontal="center" vertical="center"/>
    </xf>
    <xf numFmtId="3" fontId="2" fillId="0" borderId="5" xfId="1" applyNumberFormat="1" applyFont="1" applyBorder="1" applyAlignment="1">
      <alignment horizontal="center" vertical="center" wrapText="1"/>
    </xf>
    <xf numFmtId="0" fontId="12" fillId="2" borderId="0" xfId="1" applyFont="1" applyFill="1"/>
    <xf numFmtId="0" fontId="2" fillId="0" borderId="1" xfId="0" applyFont="1" applyBorder="1" applyAlignment="1">
      <alignment horizontal="left" vertical="center" wrapText="1"/>
    </xf>
    <xf numFmtId="2" fontId="5" fillId="2" borderId="0" xfId="1" applyNumberFormat="1" applyFont="1" applyFill="1"/>
    <xf numFmtId="4" fontId="2" fillId="0" borderId="1" xfId="0" applyNumberFormat="1" applyFont="1" applyBorder="1" applyAlignment="1">
      <alignment horizontal="center" vertical="center" wrapText="1"/>
    </xf>
    <xf numFmtId="2" fontId="5" fillId="0" borderId="0" xfId="1" applyNumberFormat="1" applyFont="1"/>
    <xf numFmtId="3" fontId="2" fillId="2" borderId="0" xfId="1" applyNumberFormat="1" applyFont="1" applyFill="1" applyAlignment="1">
      <alignment horizontal="center" vertical="center" wrapText="1"/>
    </xf>
    <xf numFmtId="0" fontId="2" fillId="0" borderId="0" xfId="0" applyFont="1" applyAlignment="1">
      <alignment horizontal="center" vertical="center"/>
    </xf>
    <xf numFmtId="1" fontId="2" fillId="2" borderId="3" xfId="1" applyNumberFormat="1" applyFont="1" applyFill="1" applyBorder="1" applyAlignment="1">
      <alignment horizontal="center" vertical="center"/>
    </xf>
    <xf numFmtId="0" fontId="10" fillId="2" borderId="4" xfId="1" quotePrefix="1" applyFont="1" applyFill="1" applyBorder="1" applyAlignment="1">
      <alignment vertical="center" wrapText="1"/>
    </xf>
    <xf numFmtId="0" fontId="2" fillId="2" borderId="4" xfId="1" quotePrefix="1" applyFont="1" applyFill="1" applyBorder="1" applyAlignment="1">
      <alignment horizontal="center" vertical="center" wrapText="1"/>
    </xf>
    <xf numFmtId="0" fontId="6" fillId="2" borderId="4" xfId="1" quotePrefix="1" applyFont="1" applyFill="1" applyBorder="1" applyAlignment="1">
      <alignment vertical="center" wrapText="1"/>
    </xf>
    <xf numFmtId="2" fontId="2" fillId="0" borderId="1" xfId="1" applyNumberFormat="1" applyFont="1" applyBorder="1" applyAlignment="1">
      <alignment horizontal="center" vertical="center"/>
    </xf>
    <xf numFmtId="2" fontId="2" fillId="2" borderId="3" xfId="1" applyNumberFormat="1" applyFont="1" applyFill="1" applyBorder="1" applyAlignment="1">
      <alignment horizontal="center" vertical="center"/>
    </xf>
    <xf numFmtId="2" fontId="2" fillId="2" borderId="1" xfId="1" applyNumberFormat="1" applyFont="1" applyFill="1" applyBorder="1" applyAlignment="1">
      <alignment horizontal="center" vertical="center"/>
    </xf>
    <xf numFmtId="165" fontId="2" fillId="2" borderId="4" xfId="1" applyNumberFormat="1" applyFont="1" applyFill="1" applyBorder="1" applyAlignment="1">
      <alignment horizontal="center" vertical="center" wrapText="1"/>
    </xf>
    <xf numFmtId="165" fontId="2" fillId="2" borderId="1" xfId="1" applyNumberFormat="1" applyFont="1" applyFill="1" applyBorder="1" applyAlignment="1">
      <alignment horizontal="center" vertical="center" wrapText="1"/>
    </xf>
    <xf numFmtId="0" fontId="4" fillId="2" borderId="3" xfId="1" applyFont="1" applyFill="1" applyBorder="1" applyAlignment="1">
      <alignment vertical="center" wrapText="1"/>
    </xf>
    <xf numFmtId="0" fontId="4" fillId="2" borderId="4" xfId="1" applyFont="1" applyFill="1" applyBorder="1" applyAlignment="1">
      <alignment vertical="center" wrapText="1"/>
    </xf>
    <xf numFmtId="0" fontId="2" fillId="0" borderId="4" xfId="0" applyFont="1" applyBorder="1" applyAlignment="1">
      <alignment horizontal="center" vertical="center"/>
    </xf>
    <xf numFmtId="9" fontId="2" fillId="0" borderId="1" xfId="3" applyFont="1" applyBorder="1" applyAlignment="1">
      <alignment horizontal="center" vertical="center" wrapText="1"/>
    </xf>
    <xf numFmtId="9" fontId="2" fillId="0" borderId="4" xfId="0" applyNumberFormat="1" applyFont="1" applyBorder="1" applyAlignment="1">
      <alignment horizontal="center" vertical="center"/>
    </xf>
    <xf numFmtId="0" fontId="2" fillId="0" borderId="10" xfId="0" applyFont="1" applyBorder="1" applyAlignment="1">
      <alignment horizontal="center" vertical="center"/>
    </xf>
    <xf numFmtId="3" fontId="2" fillId="2" borderId="9" xfId="1" applyNumberFormat="1" applyFont="1" applyFill="1" applyBorder="1" applyAlignment="1">
      <alignment horizontal="center" vertical="center" wrapText="1"/>
    </xf>
    <xf numFmtId="0" fontId="4" fillId="2" borderId="3" xfId="0" applyFont="1" applyFill="1" applyBorder="1" applyAlignment="1">
      <alignment vertical="center" wrapText="1"/>
    </xf>
    <xf numFmtId="3" fontId="2" fillId="2" borderId="3" xfId="1" applyNumberFormat="1" applyFont="1" applyFill="1" applyBorder="1" applyAlignment="1">
      <alignment horizontal="center" vertical="center" wrapText="1"/>
    </xf>
    <xf numFmtId="3" fontId="2" fillId="2" borderId="5" xfId="1" applyNumberFormat="1" applyFont="1" applyFill="1" applyBorder="1" applyAlignment="1">
      <alignment horizontal="center" vertical="center" wrapText="1"/>
    </xf>
    <xf numFmtId="0" fontId="2" fillId="0" borderId="1" xfId="1" quotePrefix="1" applyFont="1" applyBorder="1" applyAlignment="1">
      <alignment horizontal="center" vertical="center" wrapText="1"/>
    </xf>
    <xf numFmtId="167" fontId="2" fillId="0" borderId="1" xfId="3" applyNumberFormat="1" applyFont="1" applyBorder="1" applyAlignment="1">
      <alignment horizontal="center" vertical="center" wrapText="1"/>
    </xf>
    <xf numFmtId="0" fontId="15" fillId="2" borderId="0" xfId="5" applyFont="1" applyFill="1"/>
    <xf numFmtId="167" fontId="2" fillId="2" borderId="2" xfId="3" applyNumberFormat="1" applyFont="1" applyFill="1" applyBorder="1" applyAlignment="1">
      <alignment horizontal="center" vertical="center"/>
    </xf>
    <xf numFmtId="0" fontId="2" fillId="2" borderId="0" xfId="1" applyFont="1" applyFill="1" applyAlignment="1">
      <alignment horizontal="center" vertical="center"/>
    </xf>
    <xf numFmtId="168" fontId="5" fillId="2" borderId="0" xfId="1" applyNumberFormat="1" applyFont="1" applyFill="1"/>
    <xf numFmtId="169" fontId="5" fillId="2" borderId="0" xfId="1" applyNumberFormat="1" applyFont="1" applyFill="1"/>
    <xf numFmtId="0" fontId="2" fillId="0" borderId="1" xfId="1" applyFont="1" applyBorder="1" applyAlignment="1">
      <alignment vertical="center" wrapText="1"/>
    </xf>
    <xf numFmtId="164" fontId="2" fillId="0" borderId="2" xfId="1" applyNumberFormat="1" applyFont="1" applyBorder="1" applyAlignment="1">
      <alignment horizontal="center" vertical="center"/>
    </xf>
    <xf numFmtId="0" fontId="2" fillId="0" borderId="1" xfId="1" applyFont="1" applyBorder="1" applyAlignment="1">
      <alignment horizontal="center" vertical="center" wrapText="1"/>
    </xf>
    <xf numFmtId="0" fontId="2" fillId="0" borderId="7" xfId="1" applyFont="1" applyBorder="1" applyAlignment="1">
      <alignment vertical="center" wrapText="1"/>
    </xf>
    <xf numFmtId="0" fontId="2" fillId="0" borderId="5" xfId="1" applyFont="1" applyBorder="1" applyAlignment="1">
      <alignment horizontal="center" vertical="center" wrapText="1"/>
    </xf>
    <xf numFmtId="167" fontId="2" fillId="0" borderId="2" xfId="3" applyNumberFormat="1" applyFont="1" applyFill="1" applyBorder="1" applyAlignment="1">
      <alignment horizontal="center" vertical="center"/>
    </xf>
    <xf numFmtId="0" fontId="2" fillId="0" borderId="5" xfId="1" applyFont="1" applyBorder="1" applyAlignment="1">
      <alignment vertical="center" wrapText="1"/>
    </xf>
    <xf numFmtId="0" fontId="2" fillId="0" borderId="8" xfId="1" applyFont="1" applyBorder="1" applyAlignment="1">
      <alignment vertical="center" wrapText="1"/>
    </xf>
    <xf numFmtId="0" fontId="10" fillId="0" borderId="2" xfId="1" applyFont="1" applyBorder="1" applyAlignment="1">
      <alignment horizontal="left" vertical="center" wrapText="1"/>
    </xf>
    <xf numFmtId="0" fontId="10" fillId="0" borderId="3" xfId="1" quotePrefix="1" applyFont="1" applyBorder="1" applyAlignment="1">
      <alignment vertical="center" wrapText="1"/>
    </xf>
    <xf numFmtId="0" fontId="10" fillId="0" borderId="3" xfId="1" quotePrefix="1" applyFont="1" applyBorder="1" applyAlignment="1">
      <alignment horizontal="center" vertical="center" wrapText="1"/>
    </xf>
    <xf numFmtId="1" fontId="2" fillId="0" borderId="1" xfId="1" quotePrefix="1" applyNumberFormat="1" applyFont="1" applyBorder="1" applyAlignment="1">
      <alignment horizontal="center" vertical="center" wrapText="1"/>
    </xf>
    <xf numFmtId="164" fontId="2" fillId="0" borderId="1" xfId="1" quotePrefix="1" applyNumberFormat="1" applyFont="1" applyBorder="1" applyAlignment="1">
      <alignment horizontal="center" vertical="center" wrapText="1"/>
    </xf>
    <xf numFmtId="2" fontId="2" fillId="0" borderId="1" xfId="1" applyNumberFormat="1" applyFont="1" applyBorder="1" applyAlignment="1">
      <alignment horizontal="center" vertical="center" wrapText="1"/>
    </xf>
    <xf numFmtId="165" fontId="2" fillId="0" borderId="2" xfId="1" applyNumberFormat="1" applyFont="1" applyBorder="1" applyAlignment="1">
      <alignment horizontal="center" vertical="center"/>
    </xf>
    <xf numFmtId="0" fontId="4" fillId="2" borderId="1" xfId="1" applyFont="1" applyFill="1" applyBorder="1" applyAlignment="1">
      <alignment vertical="top" wrapText="1"/>
    </xf>
    <xf numFmtId="0" fontId="4" fillId="2" borderId="3" xfId="1" applyFont="1" applyFill="1" applyBorder="1" applyAlignment="1">
      <alignment horizontal="center" vertical="top" wrapText="1"/>
    </xf>
    <xf numFmtId="0" fontId="4" fillId="2" borderId="6" xfId="1" applyFont="1" applyFill="1" applyBorder="1" applyAlignment="1">
      <alignment horizontal="center" vertical="top" wrapText="1"/>
    </xf>
    <xf numFmtId="0" fontId="4" fillId="2" borderId="2" xfId="1" applyFont="1" applyFill="1" applyBorder="1" applyAlignment="1">
      <alignment vertical="top" wrapText="1"/>
    </xf>
    <xf numFmtId="0" fontId="4" fillId="2" borderId="3" xfId="1" applyFont="1" applyFill="1" applyBorder="1" applyAlignment="1">
      <alignment vertical="top" wrapText="1"/>
    </xf>
    <xf numFmtId="0" fontId="4" fillId="2" borderId="4" xfId="1" applyFont="1" applyFill="1" applyBorder="1" applyAlignment="1">
      <alignment vertical="top" wrapText="1"/>
    </xf>
    <xf numFmtId="0" fontId="2" fillId="0" borderId="2" xfId="1" applyFont="1" applyBorder="1" applyAlignment="1">
      <alignment horizontal="center" vertical="center"/>
    </xf>
    <xf numFmtId="17" fontId="4" fillId="2" borderId="0" xfId="1" quotePrefix="1" applyNumberFormat="1" applyFont="1" applyFill="1" applyAlignment="1">
      <alignment vertical="top"/>
    </xf>
    <xf numFmtId="17" fontId="4" fillId="2" borderId="0" xfId="1" quotePrefix="1" applyNumberFormat="1" applyFont="1" applyFill="1" applyAlignment="1">
      <alignment horizontal="center" vertical="top"/>
    </xf>
    <xf numFmtId="0" fontId="2" fillId="2" borderId="0" xfId="1" applyFont="1" applyFill="1" applyAlignment="1">
      <alignment horizontal="center" vertical="top"/>
    </xf>
    <xf numFmtId="9" fontId="2" fillId="0" borderId="2" xfId="3" applyFont="1" applyFill="1" applyBorder="1" applyAlignment="1">
      <alignment horizontal="center" vertical="center"/>
    </xf>
    <xf numFmtId="9" fontId="2" fillId="0" borderId="2" xfId="3" applyFont="1" applyBorder="1" applyAlignment="1">
      <alignment horizontal="center" vertical="center"/>
    </xf>
    <xf numFmtId="0" fontId="2" fillId="2" borderId="0" xfId="1" quotePrefix="1" applyFont="1" applyFill="1" applyAlignment="1">
      <alignment horizontal="center" vertical="top"/>
    </xf>
    <xf numFmtId="0" fontId="18" fillId="2" borderId="2" xfId="1" applyFont="1" applyFill="1" applyBorder="1" applyAlignment="1">
      <alignment horizontal="left" vertical="center" wrapText="1"/>
    </xf>
    <xf numFmtId="0" fontId="18" fillId="2" borderId="3" xfId="1" quotePrefix="1" applyFont="1" applyFill="1" applyBorder="1" applyAlignment="1">
      <alignment vertical="center" wrapText="1"/>
    </xf>
    <xf numFmtId="0" fontId="18" fillId="2" borderId="3" xfId="1" quotePrefix="1" applyFont="1" applyFill="1" applyBorder="1" applyAlignment="1">
      <alignment horizontal="center" vertical="center" wrapText="1"/>
    </xf>
    <xf numFmtId="0" fontId="18" fillId="2" borderId="4" xfId="1" quotePrefix="1"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2" borderId="3" xfId="1" quotePrefix="1" applyFont="1" applyFill="1" applyBorder="1" applyAlignment="1">
      <alignment vertical="center" wrapText="1"/>
    </xf>
    <xf numFmtId="0" fontId="4" fillId="2" borderId="3" xfId="1" quotePrefix="1" applyFont="1" applyFill="1" applyBorder="1" applyAlignment="1">
      <alignment horizontal="center" vertical="center" wrapText="1"/>
    </xf>
    <xf numFmtId="0" fontId="4" fillId="2" borderId="4" xfId="1" quotePrefix="1" applyFont="1" applyFill="1" applyBorder="1" applyAlignment="1">
      <alignment horizontal="center" vertical="center" wrapText="1"/>
    </xf>
    <xf numFmtId="1" fontId="4" fillId="2" borderId="3" xfId="1" applyNumberFormat="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6" fillId="2" borderId="0" xfId="1" applyFont="1" applyFill="1" applyAlignment="1">
      <alignment vertical="top"/>
    </xf>
    <xf numFmtId="164" fontId="2" fillId="2" borderId="0" xfId="1" applyNumberFormat="1" applyFont="1" applyFill="1" applyAlignment="1">
      <alignment horizontal="center" vertical="top"/>
    </xf>
    <xf numFmtId="164" fontId="2" fillId="0" borderId="1" xfId="1" applyNumberFormat="1" applyFont="1" applyBorder="1" applyAlignment="1">
      <alignment horizontal="center" vertical="center" wrapText="1"/>
    </xf>
    <xf numFmtId="2" fontId="2" fillId="2" borderId="0" xfId="1" applyNumberFormat="1" applyFont="1" applyFill="1" applyAlignment="1">
      <alignment horizontal="center" vertical="top"/>
    </xf>
    <xf numFmtId="0" fontId="2" fillId="0" borderId="2" xfId="1" quotePrefix="1" applyFont="1" applyBorder="1" applyAlignment="1">
      <alignment horizontal="center" vertical="center"/>
    </xf>
    <xf numFmtId="3" fontId="2" fillId="2" borderId="2" xfId="3" applyNumberFormat="1" applyFont="1" applyFill="1" applyBorder="1" applyAlignment="1">
      <alignment horizontal="center" vertical="center" wrapText="1"/>
    </xf>
    <xf numFmtId="170" fontId="2" fillId="2" borderId="2" xfId="4" applyNumberFormat="1" applyFont="1" applyFill="1" applyBorder="1" applyAlignment="1">
      <alignment horizontal="center" vertical="center"/>
    </xf>
    <xf numFmtId="170" fontId="2" fillId="2" borderId="0" xfId="1" applyNumberFormat="1" applyFont="1" applyFill="1" applyAlignment="1">
      <alignment horizontal="center" vertical="center"/>
    </xf>
    <xf numFmtId="171" fontId="2" fillId="2" borderId="0" xfId="1" applyNumberFormat="1" applyFont="1" applyFill="1" applyAlignment="1">
      <alignment vertical="top" wrapText="1"/>
    </xf>
    <xf numFmtId="171" fontId="2" fillId="2" borderId="0" xfId="1" applyNumberFormat="1" applyFont="1" applyFill="1" applyAlignment="1">
      <alignment horizontal="center" vertical="top" wrapText="1"/>
    </xf>
    <xf numFmtId="0" fontId="2" fillId="2" borderId="0" xfId="5" applyFont="1" applyFill="1" applyAlignment="1">
      <alignment vertical="top"/>
    </xf>
    <xf numFmtId="0" fontId="2" fillId="0" borderId="0" xfId="5" applyFont="1" applyAlignment="1">
      <alignment vertical="center"/>
    </xf>
    <xf numFmtId="0" fontId="21" fillId="2" borderId="0" xfId="1" applyFont="1" applyFill="1" applyAlignment="1">
      <alignment horizontal="center" vertical="center"/>
    </xf>
    <xf numFmtId="0" fontId="21" fillId="2" borderId="0" xfId="1" applyFont="1" applyFill="1"/>
    <xf numFmtId="0" fontId="7" fillId="2" borderId="0" xfId="1" applyFont="1" applyFill="1"/>
    <xf numFmtId="0" fontId="22" fillId="2" borderId="0" xfId="1" applyFont="1" applyFill="1"/>
    <xf numFmtId="0" fontId="2" fillId="2" borderId="0" xfId="1" applyFont="1" applyFill="1" applyAlignment="1">
      <alignment horizontal="left" vertical="center"/>
    </xf>
    <xf numFmtId="0" fontId="2" fillId="2" borderId="0" xfId="1" applyFont="1" applyFill="1" applyAlignment="1">
      <alignment horizontal="center" vertical="center" wrapText="1"/>
    </xf>
    <xf numFmtId="172" fontId="2" fillId="2" borderId="2" xfId="1" applyNumberFormat="1" applyFont="1" applyFill="1" applyBorder="1" applyAlignment="1">
      <alignment horizontal="center" vertical="center"/>
    </xf>
    <xf numFmtId="172" fontId="2" fillId="2" borderId="1" xfId="1" applyNumberFormat="1" applyFont="1" applyFill="1" applyBorder="1" applyAlignment="1">
      <alignment horizontal="center" vertical="center"/>
    </xf>
    <xf numFmtId="172" fontId="2" fillId="2" borderId="1" xfId="3" applyNumberFormat="1" applyFont="1" applyFill="1" applyBorder="1" applyAlignment="1">
      <alignment horizontal="center" vertical="center" wrapText="1"/>
    </xf>
    <xf numFmtId="3" fontId="2" fillId="2" borderId="4" xfId="3" applyNumberFormat="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2" xfId="1" quotePrefix="1" applyFont="1" applyFill="1" applyBorder="1" applyAlignment="1">
      <alignment horizontal="center" vertical="center" wrapText="1"/>
    </xf>
    <xf numFmtId="172" fontId="2" fillId="2" borderId="1" xfId="1" quotePrefix="1" applyNumberFormat="1" applyFont="1" applyFill="1" applyBorder="1" applyAlignment="1">
      <alignment horizontal="center" vertical="center" wrapText="1"/>
    </xf>
    <xf numFmtId="172" fontId="10" fillId="2" borderId="3" xfId="1" quotePrefix="1" applyNumberFormat="1" applyFont="1" applyFill="1" applyBorder="1" applyAlignment="1">
      <alignment vertical="center" wrapText="1"/>
    </xf>
    <xf numFmtId="172" fontId="6" fillId="2" borderId="3" xfId="1" quotePrefix="1" applyNumberFormat="1" applyFont="1" applyFill="1" applyBorder="1" applyAlignment="1">
      <alignment vertical="center" wrapText="1"/>
    </xf>
    <xf numFmtId="1" fontId="2" fillId="2" borderId="1" xfId="3" applyNumberFormat="1" applyFont="1" applyFill="1" applyBorder="1" applyAlignment="1">
      <alignment horizontal="center" vertical="center" wrapText="1"/>
    </xf>
    <xf numFmtId="172" fontId="6" fillId="2" borderId="3" xfId="1" applyNumberFormat="1" applyFont="1" applyFill="1" applyBorder="1" applyAlignment="1">
      <alignment horizontal="left" vertical="center" wrapText="1"/>
    </xf>
    <xf numFmtId="1" fontId="2" fillId="2" borderId="4" xfId="1" applyNumberFormat="1" applyFont="1" applyFill="1" applyBorder="1" applyAlignment="1">
      <alignment horizontal="center" vertical="center" wrapText="1"/>
    </xf>
    <xf numFmtId="1" fontId="2" fillId="0" borderId="1" xfId="1" applyNumberFormat="1" applyFont="1" applyBorder="1" applyAlignment="1">
      <alignment horizontal="center" vertical="center" wrapText="1"/>
    </xf>
    <xf numFmtId="173" fontId="2" fillId="2" borderId="0" xfId="1" applyNumberFormat="1" applyFont="1" applyFill="1" applyAlignment="1">
      <alignment horizontal="center" vertical="top" wrapText="1"/>
    </xf>
    <xf numFmtId="172" fontId="2" fillId="2" borderId="1" xfId="1" applyNumberFormat="1" applyFont="1" applyFill="1" applyBorder="1" applyAlignment="1">
      <alignment horizontal="center" vertical="center" wrapText="1"/>
    </xf>
    <xf numFmtId="167" fontId="2" fillId="2" borderId="0" xfId="3" applyNumberFormat="1" applyFont="1" applyFill="1" applyAlignment="1">
      <alignment horizontal="center" vertical="top" wrapText="1"/>
    </xf>
    <xf numFmtId="174" fontId="2" fillId="0" borderId="1" xfId="3" applyNumberFormat="1" applyFont="1" applyFill="1" applyBorder="1" applyAlignment="1">
      <alignment horizontal="center" vertical="center" wrapText="1"/>
    </xf>
    <xf numFmtId="4" fontId="2" fillId="2" borderId="4" xfId="1" quotePrefix="1" applyNumberFormat="1" applyFont="1" applyFill="1" applyBorder="1" applyAlignment="1">
      <alignment horizontal="center" vertical="center" wrapText="1"/>
    </xf>
    <xf numFmtId="4" fontId="2" fillId="2" borderId="1" xfId="1" quotePrefix="1" applyNumberFormat="1" applyFont="1" applyFill="1" applyBorder="1" applyAlignment="1">
      <alignment horizontal="center" vertical="center" wrapText="1"/>
    </xf>
    <xf numFmtId="3" fontId="2" fillId="2" borderId="4" xfId="1" applyNumberFormat="1" applyFont="1" applyFill="1" applyBorder="1" applyAlignment="1">
      <alignment horizontal="center" vertical="center" wrapText="1"/>
    </xf>
    <xf numFmtId="172" fontId="2" fillId="0" borderId="1" xfId="3" applyNumberFormat="1" applyFont="1" applyFill="1" applyBorder="1" applyAlignment="1">
      <alignment horizontal="center" vertical="center" wrapText="1"/>
    </xf>
    <xf numFmtId="3" fontId="2" fillId="2" borderId="4" xfId="1" quotePrefix="1" applyNumberFormat="1" applyFont="1" applyFill="1" applyBorder="1" applyAlignment="1">
      <alignment horizontal="center" vertical="center" wrapText="1"/>
    </xf>
    <xf numFmtId="3" fontId="2" fillId="2" borderId="1" xfId="1" quotePrefix="1" applyNumberFormat="1" applyFont="1" applyFill="1" applyBorder="1" applyAlignment="1">
      <alignment horizontal="center" vertical="center" wrapText="1"/>
    </xf>
    <xf numFmtId="175" fontId="2" fillId="0" borderId="1" xfId="3" quotePrefix="1" applyNumberFormat="1" applyFont="1" applyFill="1" applyBorder="1" applyAlignment="1">
      <alignment horizontal="center" vertical="center" wrapText="1"/>
    </xf>
    <xf numFmtId="0" fontId="2" fillId="2" borderId="2" xfId="1" applyFont="1" applyFill="1" applyBorder="1" applyAlignment="1">
      <alignment horizontal="center" vertical="center" wrapText="1"/>
    </xf>
    <xf numFmtId="174" fontId="2" fillId="0" borderId="2" xfId="1" applyNumberFormat="1" applyFont="1" applyBorder="1" applyAlignment="1">
      <alignment horizontal="center" vertical="center"/>
    </xf>
    <xf numFmtId="2" fontId="2" fillId="0" borderId="2" xfId="1" quotePrefix="1" applyNumberFormat="1" applyFont="1" applyBorder="1" applyAlignment="1">
      <alignment horizontal="center" vertical="center"/>
    </xf>
    <xf numFmtId="4" fontId="2" fillId="0" borderId="1" xfId="1" quotePrefix="1" applyNumberFormat="1" applyFont="1" applyBorder="1" applyAlignment="1">
      <alignment horizontal="center" vertical="center" wrapText="1"/>
    </xf>
    <xf numFmtId="3" fontId="2" fillId="0" borderId="1" xfId="1" quotePrefix="1" applyNumberFormat="1" applyFont="1" applyBorder="1" applyAlignment="1">
      <alignment horizontal="center" vertical="center" wrapText="1"/>
    </xf>
    <xf numFmtId="175" fontId="2" fillId="0" borderId="2" xfId="1" quotePrefix="1" applyNumberFormat="1" applyFont="1" applyBorder="1" applyAlignment="1">
      <alignment horizontal="center" vertical="center"/>
    </xf>
    <xf numFmtId="0" fontId="2" fillId="2" borderId="2" xfId="1" applyFont="1" applyFill="1" applyBorder="1"/>
    <xf numFmtId="174" fontId="2" fillId="2" borderId="2" xfId="1" applyNumberFormat="1" applyFont="1" applyFill="1" applyBorder="1" applyAlignment="1">
      <alignment horizontal="center" vertical="center"/>
    </xf>
    <xf numFmtId="172" fontId="2" fillId="0" borderId="2" xfId="6" applyNumberFormat="1" applyFont="1" applyFill="1" applyBorder="1" applyAlignment="1">
      <alignment horizontal="center" vertical="center"/>
    </xf>
    <xf numFmtId="175" fontId="2" fillId="2" borderId="2" xfId="1" quotePrefix="1" applyNumberFormat="1" applyFont="1" applyFill="1" applyBorder="1" applyAlignment="1">
      <alignment horizontal="center" vertical="center"/>
    </xf>
    <xf numFmtId="177" fontId="2" fillId="2" borderId="1" xfId="1" quotePrefix="1" applyNumberFormat="1" applyFont="1" applyFill="1" applyBorder="1" applyAlignment="1">
      <alignment horizontal="center" vertical="center" wrapText="1"/>
    </xf>
    <xf numFmtId="1" fontId="2" fillId="2" borderId="0" xfId="1" applyNumberFormat="1" applyFont="1" applyFill="1"/>
    <xf numFmtId="3" fontId="2" fillId="2" borderId="5" xfId="3" applyNumberFormat="1" applyFont="1" applyFill="1" applyBorder="1" applyAlignment="1">
      <alignment horizontal="center" vertical="center" wrapText="1"/>
    </xf>
    <xf numFmtId="3" fontId="2" fillId="2" borderId="1" xfId="3" applyNumberFormat="1" applyFont="1" applyFill="1" applyBorder="1" applyAlignment="1">
      <alignment horizontal="center"/>
    </xf>
    <xf numFmtId="164" fontId="23" fillId="3" borderId="1" xfId="1" applyNumberFormat="1" applyFont="1" applyFill="1" applyBorder="1" applyAlignment="1">
      <alignment horizontal="center" vertical="center" wrapText="1"/>
    </xf>
    <xf numFmtId="3" fontId="23" fillId="3" borderId="1" xfId="1" applyNumberFormat="1" applyFont="1" applyFill="1" applyBorder="1" applyAlignment="1">
      <alignment horizontal="center" vertical="center" wrapText="1"/>
    </xf>
    <xf numFmtId="4" fontId="2" fillId="2" borderId="5" xfId="3" applyNumberFormat="1" applyFont="1" applyFill="1" applyBorder="1" applyAlignment="1">
      <alignment horizontal="center" vertical="center" wrapText="1"/>
    </xf>
    <xf numFmtId="165" fontId="2" fillId="2" borderId="5" xfId="3" applyNumberFormat="1" applyFont="1" applyFill="1" applyBorder="1" applyAlignment="1">
      <alignment horizontal="center" vertical="center" wrapText="1"/>
    </xf>
    <xf numFmtId="178" fontId="2" fillId="2" borderId="1" xfId="1" applyNumberFormat="1" applyFont="1" applyFill="1" applyBorder="1" applyAlignment="1">
      <alignment horizontal="center" vertical="center" wrapText="1"/>
    </xf>
    <xf numFmtId="9" fontId="2" fillId="2" borderId="5" xfId="3" applyFont="1" applyFill="1" applyBorder="1" applyAlignment="1">
      <alignment horizontal="center" vertical="center" wrapText="1"/>
    </xf>
    <xf numFmtId="9" fontId="2" fillId="2" borderId="1" xfId="3" applyFont="1" applyFill="1" applyBorder="1" applyAlignment="1">
      <alignment horizontal="center"/>
    </xf>
    <xf numFmtId="9" fontId="2" fillId="2" borderId="1" xfId="1" applyNumberFormat="1" applyFont="1" applyFill="1" applyBorder="1" applyAlignment="1">
      <alignment horizontal="center" vertical="center" wrapText="1"/>
    </xf>
    <xf numFmtId="166" fontId="5" fillId="2" borderId="0" xfId="1" applyNumberFormat="1" applyFont="1" applyFill="1"/>
    <xf numFmtId="3" fontId="2" fillId="2" borderId="2" xfId="1" applyNumberFormat="1" applyFont="1" applyFill="1" applyBorder="1" applyAlignment="1">
      <alignment horizontal="center" vertical="center"/>
    </xf>
    <xf numFmtId="166" fontId="2" fillId="2" borderId="2" xfId="1" applyNumberFormat="1" applyFont="1" applyFill="1" applyBorder="1" applyAlignment="1">
      <alignment horizontal="center" vertical="center"/>
    </xf>
    <xf numFmtId="0" fontId="2" fillId="2" borderId="5" xfId="1" quotePrefix="1" applyFont="1" applyFill="1" applyBorder="1" applyAlignment="1">
      <alignment vertical="center" wrapText="1"/>
    </xf>
    <xf numFmtId="166" fontId="2" fillId="0" borderId="2" xfId="1" applyNumberFormat="1" applyFont="1" applyBorder="1" applyAlignment="1">
      <alignment horizontal="center" vertical="center"/>
    </xf>
    <xf numFmtId="178"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xf>
    <xf numFmtId="166" fontId="2" fillId="2" borderId="1" xfId="1" applyNumberFormat="1" applyFont="1" applyFill="1" applyBorder="1" applyAlignment="1">
      <alignment horizontal="center" vertical="center" wrapText="1"/>
    </xf>
    <xf numFmtId="0" fontId="2" fillId="2" borderId="0" xfId="1" applyFont="1" applyFill="1" applyAlignment="1">
      <alignment vertical="center"/>
    </xf>
    <xf numFmtId="0" fontId="26" fillId="4" borderId="0" xfId="0" applyFont="1" applyFill="1" applyAlignment="1">
      <alignment horizontal="center" vertical="center" wrapText="1"/>
    </xf>
    <xf numFmtId="17" fontId="4" fillId="2" borderId="0" xfId="1" quotePrefix="1" applyNumberFormat="1" applyFont="1" applyFill="1" applyAlignment="1">
      <alignment horizontal="center" vertical="top" wrapText="1"/>
    </xf>
    <xf numFmtId="0" fontId="5" fillId="2" borderId="0" xfId="1" applyFont="1" applyFill="1" applyAlignment="1">
      <alignment vertical="top" wrapText="1"/>
    </xf>
    <xf numFmtId="0" fontId="2" fillId="2" borderId="0" xfId="1" applyFont="1" applyFill="1" applyAlignment="1">
      <alignment horizontal="left"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0" xfId="1" applyFont="1" applyFill="1" applyAlignment="1">
      <alignment horizontal="center" vertical="top" wrapText="1"/>
    </xf>
    <xf numFmtId="0" fontId="5" fillId="2" borderId="0" xfId="1" applyFont="1" applyFill="1" applyAlignment="1">
      <alignment horizontal="center" vertical="top" wrapText="1"/>
    </xf>
    <xf numFmtId="0" fontId="6" fillId="2" borderId="2" xfId="1" applyFont="1" applyFill="1" applyBorder="1" applyAlignment="1">
      <alignment horizontal="center" vertical="top" wrapText="1"/>
    </xf>
    <xf numFmtId="0" fontId="6" fillId="2" borderId="0" xfId="1" applyFont="1" applyFill="1" applyAlignment="1">
      <alignment vertical="top" wrapText="1"/>
    </xf>
    <xf numFmtId="0" fontId="2" fillId="2" borderId="0" xfId="1" applyFont="1" applyFill="1" applyAlignment="1">
      <alignment horizontal="left" vertical="center" wrapText="1"/>
    </xf>
    <xf numFmtId="0" fontId="2" fillId="2" borderId="0" xfId="1" applyFont="1" applyFill="1" applyAlignment="1">
      <alignment horizontal="left" vertical="top"/>
    </xf>
    <xf numFmtId="0" fontId="4" fillId="2" borderId="3" xfId="1" applyFont="1" applyFill="1" applyBorder="1" applyAlignment="1">
      <alignment horizontal="center" vertical="top" wrapText="1"/>
    </xf>
    <xf numFmtId="0" fontId="4" fillId="2" borderId="4" xfId="1" applyFont="1" applyFill="1" applyBorder="1" applyAlignment="1">
      <alignment horizontal="center" vertical="top" wrapText="1"/>
    </xf>
    <xf numFmtId="0" fontId="4" fillId="2" borderId="2" xfId="1" applyFont="1" applyFill="1" applyBorder="1" applyAlignment="1">
      <alignment horizontal="center" vertical="top" wrapText="1"/>
    </xf>
    <xf numFmtId="0" fontId="6" fillId="2" borderId="0" xfId="1" applyFont="1" applyFill="1" applyAlignment="1">
      <alignment horizontal="center" vertical="top" wrapText="1"/>
    </xf>
    <xf numFmtId="0" fontId="19" fillId="2" borderId="0" xfId="5" applyFont="1" applyFill="1" applyAlignment="1">
      <alignment horizontal="left" vertical="top" wrapText="1"/>
    </xf>
    <xf numFmtId="0" fontId="2" fillId="2" borderId="0" xfId="1" applyFont="1" applyFill="1" applyAlignment="1">
      <alignment horizontal="left" wrapText="1"/>
    </xf>
    <xf numFmtId="0" fontId="26" fillId="4" borderId="0" xfId="0" applyFont="1" applyFill="1" applyAlignment="1">
      <alignment horizontal="center" vertical="center" wrapText="1"/>
    </xf>
    <xf numFmtId="0" fontId="27" fillId="4" borderId="0" xfId="0" applyFont="1" applyFill="1" applyAlignment="1">
      <alignment horizontal="center" vertical="center" wrapText="1"/>
    </xf>
    <xf numFmtId="0" fontId="21" fillId="0" borderId="0" xfId="0" applyFont="1" applyAlignment="1">
      <alignment horizontal="left" vertical="center" wrapText="1"/>
    </xf>
    <xf numFmtId="0" fontId="25" fillId="4" borderId="0" xfId="0" applyFont="1" applyFill="1" applyAlignment="1">
      <alignment horizontal="center" vertical="center" wrapText="1"/>
    </xf>
    <xf numFmtId="0" fontId="24" fillId="0" borderId="0" xfId="0" applyFont="1" applyAlignment="1">
      <alignment horizontal="left" vertical="center" wrapText="1"/>
    </xf>
    <xf numFmtId="0" fontId="24" fillId="0" borderId="0" xfId="0" quotePrefix="1" applyFont="1" applyAlignment="1">
      <alignment vertical="center"/>
    </xf>
    <xf numFmtId="0" fontId="24" fillId="0" borderId="0" xfId="0" applyFont="1" applyAlignment="1">
      <alignment vertical="center"/>
    </xf>
  </cellXfs>
  <cellStyles count="7">
    <cellStyle name="Comma" xfId="4" builtinId="3"/>
    <cellStyle name="Comma 2" xfId="6" xr:uid="{658F29E2-D1B3-4CA0-A4FB-C3D0C9A85204}"/>
    <cellStyle name="Hyperlink" xfId="5" builtinId="8"/>
    <cellStyle name="Normal" xfId="0" builtinId="0"/>
    <cellStyle name="Normal 3" xfId="1" xr:uid="{00000000-0005-0000-0000-000001000000}"/>
    <cellStyle name="Normal 3 2" xfId="2" xr:uid="{00000000-0005-0000-0000-00000200000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1425177</xdr:colOff>
      <xdr:row>4</xdr:row>
      <xdr:rowOff>104775</xdr:rowOff>
    </xdr:from>
    <xdr:to>
      <xdr:col>19</xdr:col>
      <xdr:colOff>555359</xdr:colOff>
      <xdr:row>19</xdr:row>
      <xdr:rowOff>22327</xdr:rowOff>
    </xdr:to>
    <xdr:pic>
      <xdr:nvPicPr>
        <xdr:cNvPr id="2" name="Picture 1">
          <a:extLst>
            <a:ext uri="{FF2B5EF4-FFF2-40B4-BE49-F238E27FC236}">
              <a16:creationId xmlns:a16="http://schemas.microsoft.com/office/drawing/2014/main" id="{015B0B1F-0005-4FF1-B090-053836F671E8}"/>
            </a:ext>
          </a:extLst>
        </xdr:cNvPr>
        <xdr:cNvPicPr>
          <a:picLocks noChangeAspect="1"/>
        </xdr:cNvPicPr>
      </xdr:nvPicPr>
      <xdr:blipFill>
        <a:blip xmlns:r="http://schemas.openxmlformats.org/officeDocument/2006/relationships" r:embed="rId1"/>
        <a:stretch>
          <a:fillRect/>
        </a:stretch>
      </xdr:blipFill>
      <xdr:spPr>
        <a:xfrm>
          <a:off x="9868137" y="931545"/>
          <a:ext cx="4807082" cy="254645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1009650</xdr:colOff>
      <xdr:row>0</xdr:row>
      <xdr:rowOff>219075</xdr:rowOff>
    </xdr:from>
    <xdr:to>
      <xdr:col>22</xdr:col>
      <xdr:colOff>116972</xdr:colOff>
      <xdr:row>20</xdr:row>
      <xdr:rowOff>151867</xdr:rowOff>
    </xdr:to>
    <xdr:pic>
      <xdr:nvPicPr>
        <xdr:cNvPr id="2" name="Picture 1">
          <a:extLst>
            <a:ext uri="{FF2B5EF4-FFF2-40B4-BE49-F238E27FC236}">
              <a16:creationId xmlns:a16="http://schemas.microsoft.com/office/drawing/2014/main" id="{0BC6CCE8-DBA6-4853-88E6-19271A16B916}"/>
            </a:ext>
          </a:extLst>
        </xdr:cNvPr>
        <xdr:cNvPicPr>
          <a:picLocks noChangeAspect="1"/>
        </xdr:cNvPicPr>
      </xdr:nvPicPr>
      <xdr:blipFill>
        <a:blip xmlns:r="http://schemas.openxmlformats.org/officeDocument/2006/relationships" r:embed="rId1"/>
        <a:stretch>
          <a:fillRect/>
        </a:stretch>
      </xdr:blipFill>
      <xdr:spPr>
        <a:xfrm>
          <a:off x="9444990" y="217170"/>
          <a:ext cx="6673982" cy="35732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371550</xdr:colOff>
      <xdr:row>1</xdr:row>
      <xdr:rowOff>142875</xdr:rowOff>
    </xdr:from>
    <xdr:to>
      <xdr:col>18</xdr:col>
      <xdr:colOff>21797</xdr:colOff>
      <xdr:row>16</xdr:row>
      <xdr:rowOff>35662</xdr:rowOff>
    </xdr:to>
    <xdr:pic>
      <xdr:nvPicPr>
        <xdr:cNvPr id="2" name="Picture 1">
          <a:extLst>
            <a:ext uri="{FF2B5EF4-FFF2-40B4-BE49-F238E27FC236}">
              <a16:creationId xmlns:a16="http://schemas.microsoft.com/office/drawing/2014/main" id="{2F235799-EC54-49C6-BBA0-6C1BDF571799}"/>
            </a:ext>
          </a:extLst>
        </xdr:cNvPr>
        <xdr:cNvPicPr>
          <a:picLocks noChangeAspect="1"/>
        </xdr:cNvPicPr>
      </xdr:nvPicPr>
      <xdr:blipFill>
        <a:blip xmlns:r="http://schemas.openxmlformats.org/officeDocument/2006/relationships" r:embed="rId1"/>
        <a:stretch>
          <a:fillRect/>
        </a:stretch>
      </xdr:blipFill>
      <xdr:spPr>
        <a:xfrm>
          <a:off x="8789745" y="398145"/>
          <a:ext cx="4801367" cy="2580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371550</xdr:colOff>
      <xdr:row>1</xdr:row>
      <xdr:rowOff>142875</xdr:rowOff>
    </xdr:from>
    <xdr:to>
      <xdr:col>18</xdr:col>
      <xdr:colOff>21797</xdr:colOff>
      <xdr:row>16</xdr:row>
      <xdr:rowOff>22327</xdr:rowOff>
    </xdr:to>
    <xdr:pic>
      <xdr:nvPicPr>
        <xdr:cNvPr id="2" name="Picture 1">
          <a:extLst>
            <a:ext uri="{FF2B5EF4-FFF2-40B4-BE49-F238E27FC236}">
              <a16:creationId xmlns:a16="http://schemas.microsoft.com/office/drawing/2014/main" id="{FBE2B961-4213-4D53-9DC3-66217DF34030}"/>
            </a:ext>
          </a:extLst>
        </xdr:cNvPr>
        <xdr:cNvPicPr>
          <a:picLocks noChangeAspect="1"/>
        </xdr:cNvPicPr>
      </xdr:nvPicPr>
      <xdr:blipFill>
        <a:blip xmlns:r="http://schemas.openxmlformats.org/officeDocument/2006/relationships" r:embed="rId1"/>
        <a:stretch>
          <a:fillRect/>
        </a:stretch>
      </xdr:blipFill>
      <xdr:spPr>
        <a:xfrm>
          <a:off x="8789745" y="398145"/>
          <a:ext cx="4801367" cy="2580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371550</xdr:colOff>
      <xdr:row>1</xdr:row>
      <xdr:rowOff>142875</xdr:rowOff>
    </xdr:from>
    <xdr:to>
      <xdr:col>18</xdr:col>
      <xdr:colOff>17987</xdr:colOff>
      <xdr:row>15</xdr:row>
      <xdr:rowOff>149571</xdr:rowOff>
    </xdr:to>
    <xdr:pic>
      <xdr:nvPicPr>
        <xdr:cNvPr id="2" name="Picture 1">
          <a:extLst>
            <a:ext uri="{FF2B5EF4-FFF2-40B4-BE49-F238E27FC236}">
              <a16:creationId xmlns:a16="http://schemas.microsoft.com/office/drawing/2014/main" id="{056CDFD4-AAA7-4297-B8B2-6FB53A743B88}"/>
            </a:ext>
          </a:extLst>
        </xdr:cNvPr>
        <xdr:cNvPicPr>
          <a:picLocks noChangeAspect="1"/>
        </xdr:cNvPicPr>
      </xdr:nvPicPr>
      <xdr:blipFill>
        <a:blip xmlns:r="http://schemas.openxmlformats.org/officeDocument/2006/relationships" r:embed="rId1"/>
        <a:stretch>
          <a:fillRect/>
        </a:stretch>
      </xdr:blipFill>
      <xdr:spPr>
        <a:xfrm>
          <a:off x="9075495" y="398145"/>
          <a:ext cx="4801367" cy="2614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1162050</xdr:colOff>
      <xdr:row>2</xdr:row>
      <xdr:rowOff>47625</xdr:rowOff>
    </xdr:from>
    <xdr:to>
      <xdr:col>19</xdr:col>
      <xdr:colOff>284612</xdr:colOff>
      <xdr:row>15</xdr:row>
      <xdr:rowOff>26025</xdr:rowOff>
    </xdr:to>
    <xdr:pic>
      <xdr:nvPicPr>
        <xdr:cNvPr id="2" name="Picture 1">
          <a:extLst>
            <a:ext uri="{FF2B5EF4-FFF2-40B4-BE49-F238E27FC236}">
              <a16:creationId xmlns:a16="http://schemas.microsoft.com/office/drawing/2014/main" id="{A1D2B17F-0206-4996-ABB6-71FB24386337}"/>
            </a:ext>
          </a:extLst>
        </xdr:cNvPr>
        <xdr:cNvPicPr>
          <a:picLocks noChangeAspect="1"/>
        </xdr:cNvPicPr>
      </xdr:nvPicPr>
      <xdr:blipFill>
        <a:blip xmlns:r="http://schemas.openxmlformats.org/officeDocument/2006/relationships" r:embed="rId1"/>
        <a:stretch>
          <a:fillRect/>
        </a:stretch>
      </xdr:blipFill>
      <xdr:spPr>
        <a:xfrm>
          <a:off x="9606915" y="478155"/>
          <a:ext cx="4814702" cy="26492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1162050</xdr:colOff>
      <xdr:row>2</xdr:row>
      <xdr:rowOff>47625</xdr:rowOff>
    </xdr:from>
    <xdr:to>
      <xdr:col>19</xdr:col>
      <xdr:colOff>288422</xdr:colOff>
      <xdr:row>16</xdr:row>
      <xdr:rowOff>22327</xdr:rowOff>
    </xdr:to>
    <xdr:pic>
      <xdr:nvPicPr>
        <xdr:cNvPr id="2" name="Picture 1">
          <a:extLst>
            <a:ext uri="{FF2B5EF4-FFF2-40B4-BE49-F238E27FC236}">
              <a16:creationId xmlns:a16="http://schemas.microsoft.com/office/drawing/2014/main" id="{528B896D-E221-4E3A-B213-E2CC7055571B}"/>
            </a:ext>
          </a:extLst>
        </xdr:cNvPr>
        <xdr:cNvPicPr>
          <a:picLocks noChangeAspect="1"/>
        </xdr:cNvPicPr>
      </xdr:nvPicPr>
      <xdr:blipFill>
        <a:blip xmlns:r="http://schemas.openxmlformats.org/officeDocument/2006/relationships" r:embed="rId1"/>
        <a:stretch>
          <a:fillRect/>
        </a:stretch>
      </xdr:blipFill>
      <xdr:spPr>
        <a:xfrm>
          <a:off x="9968865" y="478155"/>
          <a:ext cx="4814702" cy="259598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12</xdr:col>
      <xdr:colOff>371550</xdr:colOff>
      <xdr:row>1</xdr:row>
      <xdr:rowOff>142875</xdr:rowOff>
    </xdr:from>
    <xdr:ext cx="4660397" cy="2761717"/>
    <xdr:pic>
      <xdr:nvPicPr>
        <xdr:cNvPr id="2" name="Picture 1">
          <a:extLst>
            <a:ext uri="{FF2B5EF4-FFF2-40B4-BE49-F238E27FC236}">
              <a16:creationId xmlns:a16="http://schemas.microsoft.com/office/drawing/2014/main" id="{9F526906-9961-4696-BFE0-2551E133ED6B}"/>
            </a:ext>
          </a:extLst>
        </xdr:cNvPr>
        <xdr:cNvPicPr>
          <a:picLocks noChangeAspect="1"/>
        </xdr:cNvPicPr>
      </xdr:nvPicPr>
      <xdr:blipFill>
        <a:blip xmlns:r="http://schemas.openxmlformats.org/officeDocument/2006/relationships" r:embed="rId1"/>
        <a:stretch>
          <a:fillRect/>
        </a:stretch>
      </xdr:blipFill>
      <xdr:spPr>
        <a:xfrm>
          <a:off x="8827845" y="398145"/>
          <a:ext cx="4660397" cy="2761717"/>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12</xdr:col>
      <xdr:colOff>1162050</xdr:colOff>
      <xdr:row>2</xdr:row>
      <xdr:rowOff>47625</xdr:rowOff>
    </xdr:from>
    <xdr:to>
      <xdr:col>19</xdr:col>
      <xdr:colOff>284612</xdr:colOff>
      <xdr:row>16</xdr:row>
      <xdr:rowOff>99849</xdr:rowOff>
    </xdr:to>
    <xdr:pic>
      <xdr:nvPicPr>
        <xdr:cNvPr id="2" name="Picture 1">
          <a:extLst>
            <a:ext uri="{FF2B5EF4-FFF2-40B4-BE49-F238E27FC236}">
              <a16:creationId xmlns:a16="http://schemas.microsoft.com/office/drawing/2014/main" id="{F107F6A0-3015-4C99-AA66-E6FC4865848F}"/>
            </a:ext>
          </a:extLst>
        </xdr:cNvPr>
        <xdr:cNvPicPr>
          <a:picLocks noChangeAspect="1"/>
        </xdr:cNvPicPr>
      </xdr:nvPicPr>
      <xdr:blipFill>
        <a:blip xmlns:r="http://schemas.openxmlformats.org/officeDocument/2006/relationships" r:embed="rId1"/>
        <a:stretch>
          <a:fillRect/>
        </a:stretch>
      </xdr:blipFill>
      <xdr:spPr>
        <a:xfrm>
          <a:off x="9635490" y="478155"/>
          <a:ext cx="4814702" cy="25915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371550</xdr:colOff>
      <xdr:row>1</xdr:row>
      <xdr:rowOff>142875</xdr:rowOff>
    </xdr:from>
    <xdr:to>
      <xdr:col>18</xdr:col>
      <xdr:colOff>17987</xdr:colOff>
      <xdr:row>15</xdr:row>
      <xdr:rowOff>127102</xdr:rowOff>
    </xdr:to>
    <xdr:pic>
      <xdr:nvPicPr>
        <xdr:cNvPr id="2" name="Picture 1">
          <a:extLst>
            <a:ext uri="{FF2B5EF4-FFF2-40B4-BE49-F238E27FC236}">
              <a16:creationId xmlns:a16="http://schemas.microsoft.com/office/drawing/2014/main" id="{01BA3AE3-50DB-47D2-A04F-5637B17E1D2A}"/>
            </a:ext>
          </a:extLst>
        </xdr:cNvPr>
        <xdr:cNvPicPr>
          <a:picLocks noChangeAspect="1"/>
        </xdr:cNvPicPr>
      </xdr:nvPicPr>
      <xdr:blipFill>
        <a:blip xmlns:r="http://schemas.openxmlformats.org/officeDocument/2006/relationships" r:embed="rId1"/>
        <a:stretch>
          <a:fillRect/>
        </a:stretch>
      </xdr:blipFill>
      <xdr:spPr>
        <a:xfrm>
          <a:off x="8789745" y="398145"/>
          <a:ext cx="4801367" cy="25940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aenergianalyse.sharepoint.com/Users/bb/EAEA/1714%20Teknologidata%20kulkraft%20-%20Documents/Data/Biomass%20Tekkat%20from%20Ramb&#248;ll/ENSTEK-33-001-Data%20tables%20and%20calculation%20model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tants"/>
      <sheetName val="Scenario sheet"/>
      <sheetName val="Basis assumptions"/>
      <sheetName val="Energy model"/>
      <sheetName val="Turbine system efficiencies"/>
      <sheetName val="DH WtE"/>
      <sheetName val="Small WtE"/>
      <sheetName val="Medium WtE"/>
      <sheetName val="Large WtE"/>
      <sheetName val="DH Wood Chips"/>
      <sheetName val="Small Wood Chips"/>
      <sheetName val="Medium Wood Chips"/>
      <sheetName val="Large Wood Chips"/>
      <sheetName val="DH Wood Pellets"/>
      <sheetName val="Small Wood Pellets"/>
      <sheetName val="Medium Wood Pellets"/>
      <sheetName val="Large Wood Pellets"/>
      <sheetName val="DH Straw"/>
      <sheetName val="Small Straw"/>
      <sheetName val="Medium Straw"/>
      <sheetName val="Large Straw"/>
    </sheetNames>
    <sheetDataSet>
      <sheetData sheetId="0">
        <row r="3">
          <cell r="C3">
            <v>7.45</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lselectric.co.kr/edm/2016/1128/1611_electric_Floating%20Photovoltaic%20System.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modernpowersystems.com/features/featureincreasing-flexibility-of-igcc-4893259/" TargetMode="External"/><Relationship Id="rId2" Type="http://schemas.openxmlformats.org/officeDocument/2006/relationships/hyperlink" Target="https://www.euro-fusion.org/fileadmin/user_upload/Archive/wp-content/uploads/2015/02/Final-report-WP12-SER-ETM-3-01.pdf" TargetMode="External"/><Relationship Id="rId1" Type="http://schemas.openxmlformats.org/officeDocument/2006/relationships/hyperlink" Target="https://netl.doe.gov/sites/default/files/netl-file/22HOLT.pdf" TargetMode="External"/><Relationship Id="rId5" Type="http://schemas.openxmlformats.org/officeDocument/2006/relationships/drawing" Target="../drawings/drawing4.xm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S56"/>
  <sheetViews>
    <sheetView tabSelected="1" zoomScale="85" zoomScaleNormal="85" zoomScaleSheetLayoutView="120" workbookViewId="0">
      <selection activeCell="B55" sqref="B55:K55"/>
    </sheetView>
  </sheetViews>
  <sheetFormatPr baseColWidth="10" defaultColWidth="9.1640625" defaultRowHeight="14" x14ac:dyDescent="0.15"/>
  <cols>
    <col min="1" max="1" width="3" style="1" customWidth="1"/>
    <col min="2" max="2" width="35.1640625" style="1" customWidth="1"/>
    <col min="3" max="5" width="10.83203125" style="1" bestFit="1" customWidth="1"/>
    <col min="6" max="9" width="9.5" style="1" customWidth="1"/>
    <col min="10" max="10" width="7.83203125" style="1" customWidth="1"/>
    <col min="11"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55</v>
      </c>
      <c r="D6" s="47">
        <v>55</v>
      </c>
      <c r="E6" s="47">
        <v>55</v>
      </c>
      <c r="F6" s="47">
        <v>30</v>
      </c>
      <c r="G6" s="47">
        <v>500</v>
      </c>
      <c r="H6" s="47">
        <v>30</v>
      </c>
      <c r="I6" s="47">
        <v>500</v>
      </c>
      <c r="J6" s="15"/>
      <c r="K6" s="50">
        <v>1</v>
      </c>
      <c r="M6" s="17"/>
      <c r="N6" s="253"/>
      <c r="O6" s="254"/>
      <c r="P6" s="254"/>
      <c r="Q6" s="254"/>
      <c r="R6" s="254"/>
      <c r="S6" s="254"/>
    </row>
    <row r="7" spans="2:19" ht="15" customHeight="1" x14ac:dyDescent="0.15">
      <c r="B7" s="13" t="s">
        <v>11</v>
      </c>
      <c r="C7" s="47">
        <v>110</v>
      </c>
      <c r="D7" s="47">
        <v>110</v>
      </c>
      <c r="E7" s="47">
        <v>110</v>
      </c>
      <c r="F7" s="47">
        <v>30</v>
      </c>
      <c r="G7" s="47">
        <v>500</v>
      </c>
      <c r="H7" s="47">
        <v>30</v>
      </c>
      <c r="I7" s="47">
        <v>500</v>
      </c>
      <c r="J7" s="15"/>
      <c r="K7" s="50">
        <v>1</v>
      </c>
      <c r="M7" s="17"/>
      <c r="N7" s="60"/>
      <c r="O7" s="61"/>
      <c r="P7" s="61"/>
      <c r="Q7" s="61"/>
      <c r="R7" s="61"/>
      <c r="S7" s="61"/>
    </row>
    <row r="8" spans="2:19" x14ac:dyDescent="0.15">
      <c r="B8" s="13" t="s">
        <v>12</v>
      </c>
      <c r="C8" s="47">
        <v>16</v>
      </c>
      <c r="D8" s="47">
        <v>17</v>
      </c>
      <c r="E8" s="47">
        <v>18</v>
      </c>
      <c r="F8" s="47">
        <v>8</v>
      </c>
      <c r="G8" s="47">
        <v>18</v>
      </c>
      <c r="H8" s="47">
        <v>10</v>
      </c>
      <c r="I8" s="47">
        <v>20</v>
      </c>
      <c r="J8" s="15" t="s">
        <v>13</v>
      </c>
      <c r="K8" s="46">
        <v>5</v>
      </c>
      <c r="M8" s="17"/>
      <c r="N8" s="18"/>
      <c r="O8" s="18"/>
      <c r="P8" s="18"/>
      <c r="Q8" s="18"/>
      <c r="R8" s="18"/>
      <c r="S8" s="18"/>
    </row>
    <row r="9" spans="2:19" x14ac:dyDescent="0.15">
      <c r="B9" s="19" t="s">
        <v>14</v>
      </c>
      <c r="C9" s="47">
        <v>15</v>
      </c>
      <c r="D9" s="47">
        <v>16</v>
      </c>
      <c r="E9" s="47">
        <v>17</v>
      </c>
      <c r="F9" s="47">
        <v>8</v>
      </c>
      <c r="G9" s="47">
        <v>18</v>
      </c>
      <c r="H9" s="47">
        <v>10</v>
      </c>
      <c r="I9" s="47">
        <v>20</v>
      </c>
      <c r="J9" s="20" t="s">
        <v>13</v>
      </c>
      <c r="K9" s="46">
        <v>5</v>
      </c>
      <c r="M9" s="17"/>
      <c r="N9" s="18"/>
      <c r="O9" s="18"/>
      <c r="P9" s="18"/>
      <c r="Q9" s="18"/>
      <c r="R9" s="18"/>
      <c r="S9" s="18"/>
    </row>
    <row r="10" spans="2:19" x14ac:dyDescent="0.15">
      <c r="B10" s="13" t="s">
        <v>15</v>
      </c>
      <c r="C10" s="47">
        <v>10</v>
      </c>
      <c r="D10" s="47">
        <v>10</v>
      </c>
      <c r="E10" s="47">
        <v>10</v>
      </c>
      <c r="F10" s="47">
        <v>5</v>
      </c>
      <c r="G10" s="47">
        <v>30</v>
      </c>
      <c r="H10" s="47">
        <v>5</v>
      </c>
      <c r="I10" s="47">
        <v>30</v>
      </c>
      <c r="J10" s="15"/>
      <c r="K10" s="50">
        <v>1</v>
      </c>
      <c r="M10" s="1"/>
      <c r="N10" s="21"/>
      <c r="O10" s="21"/>
      <c r="P10" s="21"/>
      <c r="Q10" s="21"/>
      <c r="R10" s="21"/>
      <c r="S10" s="18"/>
    </row>
    <row r="11" spans="2:19" x14ac:dyDescent="0.15">
      <c r="B11" s="22" t="s">
        <v>16</v>
      </c>
      <c r="C11" s="47">
        <v>4</v>
      </c>
      <c r="D11" s="47">
        <v>4</v>
      </c>
      <c r="E11" s="47">
        <v>4</v>
      </c>
      <c r="F11" s="47">
        <v>2</v>
      </c>
      <c r="G11" s="47">
        <v>6</v>
      </c>
      <c r="H11" s="47">
        <v>2</v>
      </c>
      <c r="I11" s="47">
        <v>6</v>
      </c>
      <c r="J11" s="15"/>
      <c r="K11" s="50">
        <v>1</v>
      </c>
      <c r="M11" s="1"/>
      <c r="N11" s="21"/>
      <c r="O11" s="21"/>
      <c r="P11" s="21"/>
      <c r="Q11" s="21"/>
      <c r="R11" s="21"/>
      <c r="S11" s="18"/>
    </row>
    <row r="12" spans="2:19" x14ac:dyDescent="0.15">
      <c r="B12" s="22" t="s">
        <v>17</v>
      </c>
      <c r="C12" s="47">
        <v>30</v>
      </c>
      <c r="D12" s="47">
        <v>30</v>
      </c>
      <c r="E12" s="47">
        <v>30</v>
      </c>
      <c r="F12" s="47">
        <v>20</v>
      </c>
      <c r="G12" s="47">
        <v>50</v>
      </c>
      <c r="H12" s="47">
        <v>20</v>
      </c>
      <c r="I12" s="47">
        <v>50</v>
      </c>
      <c r="J12" s="15"/>
      <c r="K12" s="50">
        <v>1</v>
      </c>
      <c r="M12" s="17"/>
      <c r="N12" s="18"/>
      <c r="O12" s="18"/>
      <c r="P12" s="18"/>
      <c r="Q12" s="18"/>
      <c r="R12" s="18"/>
      <c r="S12" s="18"/>
    </row>
    <row r="13" spans="2:19" x14ac:dyDescent="0.15">
      <c r="B13" s="22" t="s">
        <v>18</v>
      </c>
      <c r="C13" s="14">
        <v>2</v>
      </c>
      <c r="D13" s="14">
        <v>2</v>
      </c>
      <c r="E13" s="14">
        <v>2</v>
      </c>
      <c r="F13" s="15">
        <v>1.5</v>
      </c>
      <c r="G13" s="15">
        <v>3</v>
      </c>
      <c r="H13" s="15">
        <v>1.5</v>
      </c>
      <c r="I13" s="15">
        <v>3</v>
      </c>
      <c r="J13" s="15"/>
      <c r="K13" s="50">
        <v>1</v>
      </c>
      <c r="M13" s="17"/>
      <c r="N13" s="18"/>
      <c r="O13" s="18"/>
      <c r="P13" s="18"/>
      <c r="Q13" s="18"/>
      <c r="R13" s="18"/>
      <c r="S13" s="18"/>
    </row>
    <row r="14" spans="2:19" x14ac:dyDescent="0.15">
      <c r="B14" s="23" t="s">
        <v>20</v>
      </c>
      <c r="C14" s="47">
        <v>30</v>
      </c>
      <c r="D14" s="47">
        <v>30</v>
      </c>
      <c r="E14" s="47">
        <v>30</v>
      </c>
      <c r="F14" s="46">
        <v>20</v>
      </c>
      <c r="G14" s="46">
        <v>40</v>
      </c>
      <c r="H14" s="46">
        <v>20</v>
      </c>
      <c r="I14" s="46">
        <v>40</v>
      </c>
      <c r="J14" s="16"/>
      <c r="K14" s="15">
        <v>1</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90</v>
      </c>
      <c r="D16" s="46">
        <v>90</v>
      </c>
      <c r="E16" s="46">
        <v>90</v>
      </c>
      <c r="F16" s="46">
        <v>70</v>
      </c>
      <c r="G16" s="46">
        <v>100</v>
      </c>
      <c r="H16" s="46">
        <v>70</v>
      </c>
      <c r="I16" s="46">
        <v>100</v>
      </c>
      <c r="J16" s="16"/>
      <c r="K16" s="46">
        <v>1</v>
      </c>
      <c r="M16" s="17"/>
      <c r="N16" s="18"/>
      <c r="O16" s="18"/>
      <c r="P16" s="18"/>
      <c r="Q16" s="18"/>
      <c r="R16" s="18"/>
      <c r="S16" s="18"/>
    </row>
    <row r="17" spans="2:19" x14ac:dyDescent="0.15">
      <c r="B17" s="23" t="s">
        <v>23</v>
      </c>
      <c r="C17" s="46">
        <v>80</v>
      </c>
      <c r="D17" s="46">
        <v>80</v>
      </c>
      <c r="E17" s="46">
        <v>80</v>
      </c>
      <c r="F17" s="46">
        <v>70</v>
      </c>
      <c r="G17" s="46">
        <v>100</v>
      </c>
      <c r="H17" s="46">
        <v>70</v>
      </c>
      <c r="I17" s="46">
        <v>100</v>
      </c>
      <c r="J17" s="16"/>
      <c r="K17" s="46">
        <v>1</v>
      </c>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8">
        <v>3</v>
      </c>
      <c r="D19" s="48">
        <v>10</v>
      </c>
      <c r="E19" s="48">
        <v>20</v>
      </c>
      <c r="F19" s="48"/>
      <c r="G19" s="48"/>
      <c r="H19" s="48"/>
      <c r="I19" s="48"/>
      <c r="J19" s="16"/>
      <c r="K19" s="50">
        <v>8</v>
      </c>
      <c r="L19" s="3"/>
      <c r="M19" s="17"/>
      <c r="N19" s="18"/>
      <c r="O19" s="18"/>
      <c r="P19" s="18"/>
      <c r="Q19" s="18"/>
      <c r="R19" s="18"/>
      <c r="S19" s="18"/>
    </row>
    <row r="20" spans="2:19" x14ac:dyDescent="0.15">
      <c r="B20" s="22" t="s">
        <v>26</v>
      </c>
      <c r="C20" s="48"/>
      <c r="D20" s="48"/>
      <c r="E20" s="48"/>
      <c r="F20" s="48"/>
      <c r="G20" s="48"/>
      <c r="H20" s="48"/>
      <c r="I20" s="48"/>
      <c r="J20" s="16"/>
      <c r="K20" s="50"/>
      <c r="M20" s="17"/>
      <c r="N20" s="18"/>
      <c r="O20" s="18"/>
      <c r="P20" s="18"/>
      <c r="Q20" s="18"/>
      <c r="R20" s="18"/>
      <c r="S20" s="18"/>
    </row>
    <row r="21" spans="2:19" x14ac:dyDescent="0.15">
      <c r="B21" s="22" t="s">
        <v>27</v>
      </c>
      <c r="C21" s="48"/>
      <c r="D21" s="48"/>
      <c r="E21" s="48"/>
      <c r="F21" s="48"/>
      <c r="G21" s="48"/>
      <c r="H21" s="48"/>
      <c r="I21" s="48"/>
      <c r="J21" s="16"/>
      <c r="K21" s="50"/>
      <c r="M21" s="17"/>
      <c r="N21" s="18"/>
      <c r="O21" s="18"/>
      <c r="P21" s="18"/>
      <c r="Q21" s="18"/>
      <c r="R21" s="18"/>
      <c r="S21" s="18"/>
    </row>
    <row r="22" spans="2:19" x14ac:dyDescent="0.15">
      <c r="B22" s="22" t="s">
        <v>28</v>
      </c>
      <c r="C22" s="48"/>
      <c r="D22" s="48"/>
      <c r="E22" s="48"/>
      <c r="F22" s="48"/>
      <c r="G22" s="48"/>
      <c r="H22" s="48"/>
      <c r="I22" s="48"/>
      <c r="J22" s="16"/>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t="s">
        <v>31</v>
      </c>
      <c r="D24" s="31" t="s">
        <v>31</v>
      </c>
      <c r="E24" s="31" t="s">
        <v>31</v>
      </c>
      <c r="F24" s="31" t="s">
        <v>31</v>
      </c>
      <c r="G24" s="31" t="s">
        <v>31</v>
      </c>
      <c r="H24" s="31" t="s">
        <v>31</v>
      </c>
      <c r="I24" s="31" t="s">
        <v>31</v>
      </c>
      <c r="J24" s="30" t="s">
        <v>32</v>
      </c>
      <c r="K24" s="50">
        <v>6</v>
      </c>
      <c r="M24" s="17"/>
      <c r="N24" s="18"/>
      <c r="O24" s="18"/>
      <c r="P24" s="18"/>
      <c r="Q24" s="18"/>
      <c r="R24" s="18"/>
      <c r="S24" s="18"/>
    </row>
    <row r="25" spans="2:19" x14ac:dyDescent="0.15">
      <c r="B25" s="22" t="s">
        <v>33</v>
      </c>
      <c r="C25" s="31" t="s">
        <v>31</v>
      </c>
      <c r="D25" s="31" t="s">
        <v>31</v>
      </c>
      <c r="E25" s="31" t="s">
        <v>31</v>
      </c>
      <c r="F25" s="31" t="s">
        <v>31</v>
      </c>
      <c r="G25" s="31" t="s">
        <v>31</v>
      </c>
      <c r="H25" s="31" t="s">
        <v>31</v>
      </c>
      <c r="I25" s="31" t="s">
        <v>31</v>
      </c>
      <c r="J25" s="30" t="s">
        <v>32</v>
      </c>
      <c r="K25" s="50">
        <v>6</v>
      </c>
      <c r="M25" s="17"/>
      <c r="N25" s="18"/>
      <c r="O25" s="18"/>
      <c r="P25" s="18"/>
      <c r="Q25" s="18"/>
      <c r="R25" s="18"/>
      <c r="S25" s="18"/>
    </row>
    <row r="26" spans="2:19" ht="15" customHeight="1" x14ac:dyDescent="0.15">
      <c r="B26" s="22" t="s">
        <v>34</v>
      </c>
      <c r="C26" s="31" t="s">
        <v>31</v>
      </c>
      <c r="D26" s="31" t="s">
        <v>31</v>
      </c>
      <c r="E26" s="31" t="s">
        <v>31</v>
      </c>
      <c r="F26" s="31" t="s">
        <v>31</v>
      </c>
      <c r="G26" s="31" t="s">
        <v>31</v>
      </c>
      <c r="H26" s="31" t="s">
        <v>31</v>
      </c>
      <c r="I26" s="31" t="s">
        <v>31</v>
      </c>
      <c r="J26" s="32" t="s">
        <v>32</v>
      </c>
      <c r="K26" s="50">
        <v>6</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t="s">
        <v>32</v>
      </c>
      <c r="K27" s="16">
        <v>6</v>
      </c>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t="s">
        <v>32</v>
      </c>
      <c r="K28" s="16">
        <v>6</v>
      </c>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4</v>
      </c>
      <c r="D30" s="64">
        <f>C30*0.86</f>
        <v>3.44</v>
      </c>
      <c r="E30" s="64">
        <f>C30*0.71</f>
        <v>2.84</v>
      </c>
      <c r="F30" s="49">
        <v>2.7</v>
      </c>
      <c r="G30" s="49">
        <v>5.75</v>
      </c>
      <c r="H30" s="49">
        <v>1.7</v>
      </c>
      <c r="I30" s="64">
        <v>4.55</v>
      </c>
      <c r="J30" s="16" t="s">
        <v>78</v>
      </c>
      <c r="K30" s="50" t="s">
        <v>39</v>
      </c>
      <c r="M30" s="17"/>
      <c r="N30" s="35"/>
      <c r="O30" s="35"/>
      <c r="P30" s="35"/>
      <c r="Q30" s="35"/>
      <c r="R30" s="18"/>
      <c r="S30" s="18"/>
    </row>
    <row r="31" spans="2:19" x14ac:dyDescent="0.15">
      <c r="B31" s="22" t="s">
        <v>40</v>
      </c>
      <c r="C31" s="56">
        <v>0.6</v>
      </c>
      <c r="D31" s="56">
        <v>0.6</v>
      </c>
      <c r="E31" s="56">
        <v>0.6</v>
      </c>
      <c r="F31" s="56">
        <v>0.4</v>
      </c>
      <c r="G31" s="56">
        <v>0.7</v>
      </c>
      <c r="H31" s="56">
        <v>0.4</v>
      </c>
      <c r="I31" s="56">
        <v>0.7</v>
      </c>
      <c r="J31" s="16"/>
      <c r="K31" s="16">
        <v>3</v>
      </c>
      <c r="M31" s="17"/>
      <c r="N31" s="35"/>
      <c r="O31" s="35"/>
      <c r="P31" s="35"/>
      <c r="Q31" s="35"/>
      <c r="R31" s="18"/>
      <c r="S31" s="18"/>
    </row>
    <row r="32" spans="2:19" x14ac:dyDescent="0.15">
      <c r="B32" s="22" t="s">
        <v>41</v>
      </c>
      <c r="C32" s="56">
        <v>0.4</v>
      </c>
      <c r="D32" s="56">
        <v>0.4</v>
      </c>
      <c r="E32" s="56">
        <v>0.4</v>
      </c>
      <c r="F32" s="56">
        <v>0.3</v>
      </c>
      <c r="G32" s="56">
        <v>0.5</v>
      </c>
      <c r="H32" s="56">
        <v>0.3</v>
      </c>
      <c r="I32" s="56">
        <v>0.5</v>
      </c>
      <c r="J32" s="16"/>
      <c r="K32" s="16">
        <v>3</v>
      </c>
      <c r="M32" s="17"/>
      <c r="N32" s="35"/>
      <c r="O32" s="35"/>
      <c r="P32" s="35"/>
      <c r="Q32" s="35"/>
      <c r="R32" s="18"/>
      <c r="S32" s="18"/>
    </row>
    <row r="33" spans="1:19" x14ac:dyDescent="0.15">
      <c r="B33" s="22" t="s">
        <v>42</v>
      </c>
      <c r="C33" s="48">
        <v>50000</v>
      </c>
      <c r="D33" s="48">
        <f>MROUND(C33*0.86,100)</f>
        <v>43000</v>
      </c>
      <c r="E33" s="48">
        <f>MROUND(C33*0.71,100)</f>
        <v>35500</v>
      </c>
      <c r="F33" s="48">
        <f>MROUND(C33*0.75,100)</f>
        <v>37500</v>
      </c>
      <c r="G33" s="48">
        <f>MROUND(C33*1.25,100)</f>
        <v>62500</v>
      </c>
      <c r="H33" s="48">
        <f>MROUND(E33*0.75,100)</f>
        <v>26600</v>
      </c>
      <c r="I33" s="48">
        <f>MROUND(E33*1.25,100)</f>
        <v>44400</v>
      </c>
      <c r="J33" s="16" t="s">
        <v>43</v>
      </c>
      <c r="K33" s="50" t="s">
        <v>44</v>
      </c>
      <c r="M33" s="17"/>
      <c r="N33" s="35"/>
      <c r="O33" s="35"/>
      <c r="P33" s="35"/>
      <c r="Q33" s="35"/>
      <c r="R33" s="18"/>
      <c r="S33" s="18"/>
    </row>
    <row r="34" spans="1:19" x14ac:dyDescent="0.15">
      <c r="B34" s="22" t="s">
        <v>45</v>
      </c>
      <c r="C34" s="49">
        <f>AVERAGE(0.25)</f>
        <v>0.25</v>
      </c>
      <c r="D34" s="58">
        <f>MROUND(C34*0.86,0.01)</f>
        <v>0.22</v>
      </c>
      <c r="E34" s="58">
        <f>MROUND(C34*0.71,0.01)</f>
        <v>0.18</v>
      </c>
      <c r="F34" s="49">
        <f>C34*0.75</f>
        <v>0.1875</v>
      </c>
      <c r="G34" s="49">
        <f>C34*1.25</f>
        <v>0.3125</v>
      </c>
      <c r="H34" s="49">
        <f>E34*0.75</f>
        <v>0.13500000000000001</v>
      </c>
      <c r="I34" s="51">
        <f>E34*1.25</f>
        <v>0.22499999999999998</v>
      </c>
      <c r="J34" s="16" t="s">
        <v>43</v>
      </c>
      <c r="K34" s="50" t="s">
        <v>44</v>
      </c>
      <c r="M34" s="17"/>
      <c r="N34" s="35"/>
      <c r="O34" s="35"/>
      <c r="P34" s="35"/>
      <c r="Q34" s="35"/>
      <c r="R34" s="18"/>
      <c r="S34" s="18"/>
    </row>
    <row r="35" spans="1:19" x14ac:dyDescent="0.15">
      <c r="B35" s="22" t="s">
        <v>46</v>
      </c>
      <c r="C35" s="47" t="s">
        <v>31</v>
      </c>
      <c r="D35" s="47" t="s">
        <v>31</v>
      </c>
      <c r="E35" s="47" t="s">
        <v>31</v>
      </c>
      <c r="F35" s="47" t="s">
        <v>31</v>
      </c>
      <c r="G35" s="47" t="s">
        <v>31</v>
      </c>
      <c r="H35" s="47" t="s">
        <v>31</v>
      </c>
      <c r="I35" s="36" t="s">
        <v>31</v>
      </c>
      <c r="J35" s="16"/>
      <c r="K35" s="50"/>
      <c r="M35" s="261"/>
      <c r="N35" s="261"/>
      <c r="O35" s="261"/>
      <c r="P35" s="261"/>
      <c r="Q35" s="261"/>
      <c r="R35" s="261"/>
      <c r="S35" s="261"/>
    </row>
    <row r="36" spans="1:19" x14ac:dyDescent="0.15">
      <c r="B36" s="37" t="s">
        <v>47</v>
      </c>
      <c r="C36" s="38"/>
      <c r="D36" s="38"/>
      <c r="E36" s="38"/>
      <c r="F36" s="38"/>
      <c r="G36" s="38"/>
      <c r="H36" s="38"/>
      <c r="I36" s="38"/>
      <c r="J36" s="38"/>
      <c r="K36" s="39"/>
      <c r="N36" s="18"/>
      <c r="O36" s="18"/>
      <c r="P36" s="18"/>
      <c r="Q36" s="18"/>
      <c r="R36" s="18"/>
      <c r="S36" s="18"/>
    </row>
    <row r="37" spans="1:19" ht="15" customHeight="1" x14ac:dyDescent="0.15">
      <c r="B37" s="13" t="s">
        <v>48</v>
      </c>
      <c r="C37" s="51">
        <v>0.15</v>
      </c>
      <c r="D37" s="51">
        <v>0.15</v>
      </c>
      <c r="E37" s="51">
        <v>0.15</v>
      </c>
      <c r="F37" s="51">
        <v>0.1</v>
      </c>
      <c r="G37" s="51">
        <v>0.2</v>
      </c>
      <c r="H37" s="51">
        <v>0.1</v>
      </c>
      <c r="I37" s="51">
        <v>0.2</v>
      </c>
      <c r="J37" s="54"/>
      <c r="K37" s="36">
        <v>7</v>
      </c>
      <c r="N37" s="18"/>
      <c r="O37" s="18"/>
      <c r="P37" s="18"/>
      <c r="Q37" s="18"/>
      <c r="R37" s="18"/>
      <c r="S37" s="18"/>
    </row>
    <row r="38" spans="1:19" ht="15" customHeight="1" x14ac:dyDescent="0.15">
      <c r="B38" s="13" t="s">
        <v>49</v>
      </c>
      <c r="C38" s="51">
        <v>0.15</v>
      </c>
      <c r="D38" s="51">
        <v>0.15</v>
      </c>
      <c r="E38" s="51">
        <v>0.15</v>
      </c>
      <c r="F38" s="51">
        <v>0.1</v>
      </c>
      <c r="G38" s="51">
        <v>0.2</v>
      </c>
      <c r="H38" s="51">
        <v>0.1</v>
      </c>
      <c r="I38" s="51">
        <v>0.2</v>
      </c>
      <c r="J38" s="54"/>
      <c r="K38" s="36">
        <v>7</v>
      </c>
      <c r="N38" s="18"/>
      <c r="O38" s="18"/>
      <c r="P38" s="18"/>
      <c r="Q38" s="18"/>
      <c r="R38" s="18"/>
      <c r="S38" s="18"/>
    </row>
    <row r="39" spans="1:19" x14ac:dyDescent="0.15">
      <c r="A39" s="3"/>
      <c r="L39" s="4"/>
    </row>
    <row r="40" spans="1:19" s="1" customFormat="1" ht="12" x14ac:dyDescent="0.15">
      <c r="A40" s="3" t="s">
        <v>50</v>
      </c>
      <c r="C40" s="40"/>
      <c r="D40" s="40"/>
      <c r="E40" s="40"/>
      <c r="F40" s="40"/>
      <c r="G40" s="40"/>
    </row>
    <row r="41" spans="1:19" x14ac:dyDescent="0.15">
      <c r="A41" s="53">
        <v>1</v>
      </c>
      <c r="B41" s="53" t="s">
        <v>51</v>
      </c>
      <c r="C41" s="53"/>
      <c r="D41" s="53"/>
      <c r="E41" s="53"/>
      <c r="F41" s="53"/>
      <c r="G41" s="53"/>
      <c r="H41" s="53"/>
      <c r="I41" s="53"/>
      <c r="J41" s="53"/>
      <c r="K41" s="53"/>
    </row>
    <row r="42" spans="1:19" x14ac:dyDescent="0.15">
      <c r="A42" s="53">
        <v>2</v>
      </c>
      <c r="B42" s="53" t="s">
        <v>52</v>
      </c>
      <c r="C42" s="53"/>
      <c r="D42" s="53"/>
      <c r="E42" s="53"/>
      <c r="F42" s="53"/>
      <c r="G42" s="53"/>
      <c r="H42" s="53"/>
      <c r="I42" s="53"/>
      <c r="J42" s="53"/>
      <c r="K42" s="53"/>
    </row>
    <row r="43" spans="1:19" x14ac:dyDescent="0.15">
      <c r="A43" s="53">
        <v>3</v>
      </c>
      <c r="B43" s="53" t="s">
        <v>53</v>
      </c>
      <c r="C43" s="53"/>
      <c r="D43" s="53"/>
      <c r="E43" s="53"/>
      <c r="F43" s="53"/>
      <c r="G43" s="53"/>
      <c r="H43" s="53"/>
      <c r="I43" s="53"/>
      <c r="J43" s="53"/>
      <c r="K43" s="53"/>
    </row>
    <row r="44" spans="1:19" x14ac:dyDescent="0.15">
      <c r="A44" s="53">
        <v>4</v>
      </c>
      <c r="B44" s="53" t="s">
        <v>54</v>
      </c>
      <c r="C44" s="53"/>
      <c r="D44" s="53"/>
      <c r="E44" s="53"/>
      <c r="F44" s="53"/>
      <c r="G44" s="53"/>
      <c r="H44" s="53"/>
      <c r="I44" s="53"/>
      <c r="J44" s="53"/>
      <c r="K44" s="53"/>
    </row>
    <row r="45" spans="1:19" x14ac:dyDescent="0.15">
      <c r="A45" s="53">
        <v>5</v>
      </c>
      <c r="B45" s="53" t="s">
        <v>55</v>
      </c>
      <c r="C45" s="53"/>
      <c r="D45" s="53"/>
      <c r="E45" s="53"/>
      <c r="F45" s="53"/>
      <c r="G45" s="53"/>
      <c r="H45" s="53"/>
      <c r="I45" s="53"/>
      <c r="J45" s="53"/>
      <c r="K45" s="53"/>
    </row>
    <row r="46" spans="1:19" x14ac:dyDescent="0.15">
      <c r="A46" s="53">
        <v>6</v>
      </c>
      <c r="B46" s="53" t="s">
        <v>56</v>
      </c>
      <c r="C46" s="53"/>
      <c r="D46" s="53"/>
      <c r="E46" s="53"/>
      <c r="F46" s="53"/>
      <c r="G46" s="53"/>
      <c r="H46" s="53"/>
      <c r="I46" s="53"/>
      <c r="J46" s="53"/>
      <c r="K46" s="53"/>
    </row>
    <row r="47" spans="1:19" x14ac:dyDescent="0.15">
      <c r="A47" s="53">
        <v>7</v>
      </c>
      <c r="B47" s="53" t="s">
        <v>57</v>
      </c>
      <c r="C47" s="53"/>
      <c r="D47" s="53"/>
      <c r="E47" s="53"/>
      <c r="F47" s="53"/>
      <c r="G47" s="53"/>
      <c r="H47" s="53"/>
      <c r="I47" s="53"/>
      <c r="J47" s="53"/>
      <c r="K47" s="53"/>
    </row>
    <row r="48" spans="1:19" x14ac:dyDescent="0.15">
      <c r="A48" s="53">
        <v>8</v>
      </c>
      <c r="B48" s="53" t="s">
        <v>58</v>
      </c>
      <c r="C48" s="53"/>
      <c r="D48" s="53"/>
      <c r="E48" s="53"/>
      <c r="F48" s="53"/>
      <c r="G48" s="53"/>
      <c r="H48" s="53"/>
      <c r="I48" s="53"/>
      <c r="J48" s="53"/>
      <c r="K48" s="53"/>
    </row>
    <row r="49" spans="1:11" x14ac:dyDescent="0.15">
      <c r="A49" s="3" t="s">
        <v>59</v>
      </c>
    </row>
    <row r="50" spans="1:11" ht="27" customHeight="1" x14ac:dyDescent="0.15">
      <c r="A50" s="52" t="s">
        <v>13</v>
      </c>
      <c r="B50" s="255" t="s">
        <v>60</v>
      </c>
      <c r="C50" s="255"/>
      <c r="D50" s="255"/>
      <c r="E50" s="255"/>
      <c r="F50" s="255"/>
      <c r="G50" s="255"/>
      <c r="H50" s="255"/>
      <c r="I50" s="255"/>
      <c r="J50" s="255"/>
      <c r="K50" s="255"/>
    </row>
    <row r="51" spans="1:11" x14ac:dyDescent="0.15">
      <c r="A51" s="52" t="s">
        <v>61</v>
      </c>
      <c r="B51" s="255" t="s">
        <v>62</v>
      </c>
      <c r="C51" s="255"/>
      <c r="D51" s="255"/>
      <c r="E51" s="255"/>
      <c r="F51" s="255"/>
      <c r="G51" s="255"/>
      <c r="H51" s="255"/>
      <c r="I51" s="255"/>
      <c r="J51" s="255"/>
      <c r="K51" s="255"/>
    </row>
    <row r="52" spans="1:11" x14ac:dyDescent="0.15">
      <c r="A52" s="59" t="s">
        <v>32</v>
      </c>
      <c r="B52" s="255" t="s">
        <v>63</v>
      </c>
      <c r="C52" s="255"/>
      <c r="D52" s="255"/>
      <c r="E52" s="255"/>
      <c r="F52" s="255"/>
      <c r="G52" s="255"/>
      <c r="H52" s="255"/>
      <c r="I52" s="255"/>
      <c r="J52" s="255"/>
      <c r="K52" s="255"/>
    </row>
    <row r="53" spans="1:11" ht="24.75" customHeight="1" x14ac:dyDescent="0.15">
      <c r="A53" s="52" t="s">
        <v>64</v>
      </c>
      <c r="B53" s="255" t="s">
        <v>65</v>
      </c>
      <c r="C53" s="255"/>
      <c r="D53" s="255"/>
      <c r="E53" s="255"/>
      <c r="F53" s="255"/>
      <c r="G53" s="255"/>
      <c r="H53" s="255"/>
      <c r="I53" s="255"/>
      <c r="J53" s="255"/>
      <c r="K53" s="255"/>
    </row>
    <row r="54" spans="1:11" x14ac:dyDescent="0.15">
      <c r="A54" s="52" t="s">
        <v>66</v>
      </c>
      <c r="B54" s="53" t="s">
        <v>67</v>
      </c>
      <c r="C54" s="53"/>
      <c r="D54" s="53"/>
      <c r="E54" s="53"/>
      <c r="F54" s="53"/>
      <c r="G54" s="53"/>
      <c r="H54" s="53"/>
      <c r="I54" s="53"/>
      <c r="J54" s="53"/>
      <c r="K54" s="53"/>
    </row>
    <row r="55" spans="1:11" ht="40.5" customHeight="1" x14ac:dyDescent="0.15">
      <c r="A55" s="59" t="s">
        <v>77</v>
      </c>
      <c r="B55" s="262" t="s">
        <v>80</v>
      </c>
      <c r="C55" s="262"/>
      <c r="D55" s="262"/>
      <c r="E55" s="262"/>
      <c r="F55" s="262"/>
      <c r="G55" s="262"/>
      <c r="H55" s="262"/>
      <c r="I55" s="262"/>
      <c r="J55" s="262"/>
      <c r="K55" s="262"/>
    </row>
    <row r="56" spans="1:11" x14ac:dyDescent="0.15">
      <c r="A56" s="41"/>
    </row>
  </sheetData>
  <mergeCells count="14">
    <mergeCell ref="B55:K55"/>
    <mergeCell ref="B52:K52"/>
    <mergeCell ref="B53:K53"/>
    <mergeCell ref="B51:K51"/>
    <mergeCell ref="M23:S23"/>
    <mergeCell ref="M28:S28"/>
    <mergeCell ref="M35:S35"/>
    <mergeCell ref="N6:S6"/>
    <mergeCell ref="B50:K50"/>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G33:G34 H31:H34"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084A4-415F-4103-BE8F-D263039BCAF9}">
  <sheetPr>
    <tabColor rgb="FFFFC000"/>
  </sheetPr>
  <dimension ref="A1:R79"/>
  <sheetViews>
    <sheetView zoomScale="70" zoomScaleNormal="70" zoomScaleSheetLayoutView="120" workbookViewId="0">
      <selection activeCell="O48" sqref="O48"/>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30.1640625" style="4" customWidth="1"/>
    <col min="13" max="13" width="10.33203125" style="4" customWidth="1"/>
    <col min="14" max="14" width="9.6640625" style="4" customWidth="1"/>
    <col min="15" max="15" width="10" style="4" customWidth="1"/>
    <col min="16" max="16" width="7.83203125" style="4" customWidth="1"/>
    <col min="17" max="17" width="7.1640625" style="4" customWidth="1"/>
    <col min="18" max="18" width="7.6640625" style="4" customWidth="1"/>
    <col min="19" max="16384" width="9.1640625" style="4"/>
  </cols>
  <sheetData>
    <row r="1" spans="2:18" ht="20" x14ac:dyDescent="0.2">
      <c r="B1" s="2" t="s">
        <v>0</v>
      </c>
    </row>
    <row r="3" spans="2:18" ht="15" customHeight="1" x14ac:dyDescent="0.15">
      <c r="B3" s="5" t="s">
        <v>1</v>
      </c>
      <c r="C3" s="256" t="s">
        <v>199</v>
      </c>
      <c r="D3" s="256"/>
      <c r="E3" s="256"/>
      <c r="F3" s="256"/>
      <c r="G3" s="256"/>
      <c r="H3" s="256"/>
      <c r="I3" s="256"/>
      <c r="J3" s="256"/>
      <c r="K3" s="257"/>
      <c r="L3" s="63"/>
      <c r="M3" s="258"/>
      <c r="N3" s="259"/>
      <c r="O3" s="259"/>
      <c r="P3" s="259"/>
      <c r="Q3" s="259"/>
      <c r="R3" s="259"/>
    </row>
    <row r="4" spans="2:18" ht="16.5" customHeight="1" x14ac:dyDescent="0.15">
      <c r="B4" s="6"/>
      <c r="C4" s="7">
        <v>2020</v>
      </c>
      <c r="D4" s="7">
        <v>2030</v>
      </c>
      <c r="E4" s="7">
        <v>2050</v>
      </c>
      <c r="F4" s="260" t="s">
        <v>3</v>
      </c>
      <c r="G4" s="257"/>
      <c r="H4" s="260" t="s">
        <v>4</v>
      </c>
      <c r="I4" s="257"/>
      <c r="J4" s="7" t="s">
        <v>5</v>
      </c>
      <c r="K4" s="7" t="s">
        <v>6</v>
      </c>
      <c r="L4" s="8"/>
      <c r="M4" s="9"/>
      <c r="N4" s="9"/>
      <c r="O4" s="9"/>
      <c r="P4" s="9"/>
      <c r="Q4" s="9"/>
      <c r="R4" s="9"/>
    </row>
    <row r="5" spans="2:18" ht="15" customHeight="1" x14ac:dyDescent="0.15">
      <c r="B5" s="10" t="s">
        <v>7</v>
      </c>
      <c r="C5" s="11"/>
      <c r="D5" s="11"/>
      <c r="E5" s="11"/>
      <c r="F5" s="62" t="s">
        <v>8</v>
      </c>
      <c r="G5" s="62" t="s">
        <v>9</v>
      </c>
      <c r="H5" s="62" t="s">
        <v>8</v>
      </c>
      <c r="I5" s="62" t="s">
        <v>9</v>
      </c>
      <c r="J5" s="11"/>
      <c r="K5" s="12"/>
      <c r="L5" s="261"/>
      <c r="M5" s="261"/>
      <c r="N5" s="261"/>
      <c r="O5" s="261"/>
      <c r="P5" s="261"/>
      <c r="Q5" s="261"/>
      <c r="R5" s="261"/>
    </row>
    <row r="6" spans="2:18" ht="27.75" customHeight="1" x14ac:dyDescent="0.15">
      <c r="B6" s="13" t="s">
        <v>11</v>
      </c>
      <c r="C6" s="47">
        <v>10</v>
      </c>
      <c r="D6" s="47">
        <v>10</v>
      </c>
      <c r="E6" s="47">
        <v>10</v>
      </c>
      <c r="F6" s="47"/>
      <c r="G6" s="47"/>
      <c r="H6" s="47"/>
      <c r="I6" s="47"/>
      <c r="J6" s="15" t="s">
        <v>32</v>
      </c>
      <c r="K6" s="50"/>
      <c r="L6" s="17"/>
      <c r="M6" s="60"/>
      <c r="N6" s="61"/>
      <c r="O6" s="61"/>
      <c r="P6" s="61"/>
      <c r="Q6" s="61"/>
      <c r="R6" s="61"/>
    </row>
    <row r="7" spans="2:18" x14ac:dyDescent="0.15">
      <c r="B7" s="13" t="s">
        <v>12</v>
      </c>
      <c r="C7" s="47" t="s">
        <v>31</v>
      </c>
      <c r="D7" s="47" t="s">
        <v>31</v>
      </c>
      <c r="E7" s="47" t="s">
        <v>31</v>
      </c>
      <c r="F7" s="47"/>
      <c r="G7" s="47"/>
      <c r="H7" s="47"/>
      <c r="I7" s="47"/>
      <c r="J7" s="15" t="s">
        <v>13</v>
      </c>
      <c r="K7" s="46"/>
      <c r="L7" s="17"/>
      <c r="M7" s="18"/>
      <c r="N7" s="18"/>
      <c r="O7" s="18"/>
      <c r="P7" s="18"/>
      <c r="Q7" s="18"/>
      <c r="R7" s="18"/>
    </row>
    <row r="8" spans="2:18" ht="26.25" customHeight="1" x14ac:dyDescent="0.15">
      <c r="B8" s="19" t="s">
        <v>14</v>
      </c>
      <c r="C8" s="47" t="s">
        <v>31</v>
      </c>
      <c r="D8" s="47" t="s">
        <v>31</v>
      </c>
      <c r="E8" s="47" t="s">
        <v>31</v>
      </c>
      <c r="F8" s="47"/>
      <c r="G8" s="47"/>
      <c r="H8" s="47"/>
      <c r="I8" s="47"/>
      <c r="J8" s="20" t="s">
        <v>13</v>
      </c>
      <c r="K8" s="66"/>
      <c r="L8" s="17"/>
      <c r="M8" s="18"/>
      <c r="N8" s="18"/>
      <c r="O8" s="18"/>
      <c r="P8" s="18"/>
      <c r="Q8" s="18"/>
      <c r="R8" s="18"/>
    </row>
    <row r="9" spans="2:18" x14ac:dyDescent="0.15">
      <c r="B9" s="13" t="s">
        <v>15</v>
      </c>
      <c r="C9" s="47" t="s">
        <v>31</v>
      </c>
      <c r="D9" s="47" t="s">
        <v>31</v>
      </c>
      <c r="E9" s="47" t="s">
        <v>31</v>
      </c>
      <c r="F9" s="47"/>
      <c r="G9" s="47"/>
      <c r="H9" s="47"/>
      <c r="I9" s="47"/>
      <c r="J9" s="15"/>
      <c r="K9" s="50"/>
      <c r="L9" s="1"/>
      <c r="M9" s="21"/>
      <c r="N9" s="21"/>
      <c r="O9" s="21"/>
      <c r="P9" s="21"/>
      <c r="Q9" s="21"/>
      <c r="R9" s="18"/>
    </row>
    <row r="10" spans="2:18" x14ac:dyDescent="0.15">
      <c r="B10" s="22" t="s">
        <v>16</v>
      </c>
      <c r="C10" s="47" t="s">
        <v>31</v>
      </c>
      <c r="D10" s="47" t="s">
        <v>31</v>
      </c>
      <c r="E10" s="47" t="s">
        <v>31</v>
      </c>
      <c r="F10" s="47"/>
      <c r="G10" s="47"/>
      <c r="H10" s="47"/>
      <c r="I10" s="47"/>
      <c r="J10" s="15"/>
      <c r="K10" s="50"/>
      <c r="L10" s="1"/>
      <c r="M10" s="21"/>
      <c r="N10" s="21"/>
      <c r="O10" s="21"/>
      <c r="P10" s="21"/>
      <c r="Q10" s="21"/>
      <c r="R10" s="18"/>
    </row>
    <row r="11" spans="2:18" x14ac:dyDescent="0.15">
      <c r="B11" s="22" t="s">
        <v>17</v>
      </c>
      <c r="C11" s="47" t="e">
        <f>AVERAGE(#REF!)</f>
        <v>#REF!</v>
      </c>
      <c r="D11" s="47" t="e">
        <f>AVERAGE(#REF!)</f>
        <v>#REF!</v>
      </c>
      <c r="E11" s="47" t="e">
        <f>AVERAGE(#REF!)</f>
        <v>#REF!</v>
      </c>
      <c r="F11" s="47">
        <v>25</v>
      </c>
      <c r="G11" s="47">
        <v>40</v>
      </c>
      <c r="H11" s="47">
        <v>35</v>
      </c>
      <c r="I11" s="47">
        <v>45</v>
      </c>
      <c r="J11" s="15"/>
      <c r="K11" s="50" t="s">
        <v>112</v>
      </c>
      <c r="L11" s="17"/>
      <c r="M11" s="18"/>
      <c r="N11" s="18"/>
      <c r="O11" s="18"/>
      <c r="P11" s="18"/>
      <c r="Q11" s="18"/>
      <c r="R11" s="18"/>
    </row>
    <row r="12" spans="2:18" x14ac:dyDescent="0.15">
      <c r="B12" s="22" t="s">
        <v>18</v>
      </c>
      <c r="C12" s="14" t="e">
        <f>AVERAGE(#REF!)</f>
        <v>#REF!</v>
      </c>
      <c r="D12" s="14">
        <v>0.5</v>
      </c>
      <c r="E12" s="14">
        <v>0.5</v>
      </c>
      <c r="F12" s="15">
        <v>0.5</v>
      </c>
      <c r="G12" s="15">
        <v>1.5</v>
      </c>
      <c r="H12" s="15">
        <v>0.25</v>
      </c>
      <c r="I12" s="47">
        <v>1</v>
      </c>
      <c r="J12" s="15"/>
      <c r="K12" s="50">
        <v>1</v>
      </c>
      <c r="L12" s="17"/>
      <c r="M12" s="18"/>
      <c r="N12" s="18"/>
      <c r="O12" s="18"/>
      <c r="P12" s="18"/>
      <c r="Q12" s="18"/>
      <c r="R12" s="18"/>
    </row>
    <row r="13" spans="2:18" x14ac:dyDescent="0.15">
      <c r="B13" s="23" t="s">
        <v>20</v>
      </c>
      <c r="C13" s="47">
        <v>14</v>
      </c>
      <c r="D13" s="47">
        <v>12</v>
      </c>
      <c r="E13" s="47">
        <v>12</v>
      </c>
      <c r="F13" s="47">
        <v>13</v>
      </c>
      <c r="G13" s="47">
        <v>18</v>
      </c>
      <c r="H13" s="47">
        <v>13</v>
      </c>
      <c r="I13" s="68">
        <v>18</v>
      </c>
      <c r="J13" s="16"/>
      <c r="K13" s="15"/>
      <c r="L13" s="17"/>
      <c r="M13" s="18"/>
      <c r="N13" s="18"/>
      <c r="O13" s="18"/>
      <c r="P13" s="18"/>
      <c r="Q13" s="18"/>
      <c r="R13" s="18"/>
    </row>
    <row r="14" spans="2:18" ht="30" customHeight="1" x14ac:dyDescent="0.15">
      <c r="B14" s="42" t="s">
        <v>21</v>
      </c>
      <c r="C14" s="43"/>
      <c r="D14" s="43"/>
      <c r="E14" s="43"/>
      <c r="F14" s="43"/>
      <c r="G14" s="43"/>
      <c r="H14" s="43"/>
      <c r="I14" s="44"/>
      <c r="J14" s="44"/>
      <c r="K14" s="45"/>
      <c r="L14" s="17"/>
      <c r="M14" s="18"/>
      <c r="N14" s="18"/>
      <c r="O14" s="18"/>
      <c r="P14" s="18"/>
      <c r="Q14" s="18"/>
      <c r="R14" s="18"/>
    </row>
    <row r="15" spans="2:18" x14ac:dyDescent="0.15">
      <c r="B15" s="23" t="s">
        <v>22</v>
      </c>
      <c r="C15" s="73">
        <f>'Ground-mounted PV'!C15*1.08</f>
        <v>20.958904109589039</v>
      </c>
      <c r="D15" s="73">
        <f>'Ground-mounted PV'!D15*1.08</f>
        <v>24.041095890410961</v>
      </c>
      <c r="E15" s="73">
        <f>'Ground-mounted PV'!E15*1.08</f>
        <v>24.041095890410961</v>
      </c>
      <c r="F15" s="46">
        <v>14</v>
      </c>
      <c r="G15" s="46">
        <v>22</v>
      </c>
      <c r="H15" s="46">
        <v>16</v>
      </c>
      <c r="I15" s="46">
        <v>23</v>
      </c>
      <c r="J15" s="16"/>
      <c r="K15" s="133" t="s">
        <v>135</v>
      </c>
      <c r="L15" s="17"/>
      <c r="M15" s="18"/>
      <c r="N15" s="18"/>
      <c r="O15" s="18"/>
      <c r="P15" s="18"/>
      <c r="Q15" s="18"/>
      <c r="R15" s="18"/>
    </row>
    <row r="16" spans="2:18" x14ac:dyDescent="0.15">
      <c r="B16" s="23" t="s">
        <v>23</v>
      </c>
      <c r="C16" s="73">
        <f>C15</f>
        <v>20.958904109589039</v>
      </c>
      <c r="D16" s="73">
        <f t="shared" ref="D16:E16" si="0">D15</f>
        <v>24.041095890410961</v>
      </c>
      <c r="E16" s="73">
        <f t="shared" si="0"/>
        <v>24.041095890410961</v>
      </c>
      <c r="F16" s="46">
        <v>14</v>
      </c>
      <c r="G16" s="46">
        <v>22</v>
      </c>
      <c r="H16" s="46">
        <v>16</v>
      </c>
      <c r="I16" s="46">
        <v>23</v>
      </c>
      <c r="J16" s="16"/>
      <c r="K16" s="133" t="s">
        <v>135</v>
      </c>
      <c r="L16" s="17"/>
      <c r="M16" s="18"/>
      <c r="N16" s="18"/>
      <c r="O16" s="18"/>
      <c r="P16" s="18"/>
      <c r="Q16" s="18"/>
      <c r="R16" s="18"/>
    </row>
    <row r="17" spans="2:18" x14ac:dyDescent="0.15">
      <c r="B17" s="24" t="s">
        <v>24</v>
      </c>
      <c r="C17" s="25"/>
      <c r="D17" s="25"/>
      <c r="E17" s="25"/>
      <c r="F17" s="25"/>
      <c r="G17" s="25"/>
      <c r="H17" s="25"/>
      <c r="I17" s="26"/>
      <c r="J17" s="26"/>
      <c r="K17" s="27"/>
      <c r="L17" s="17"/>
      <c r="M17" s="18"/>
      <c r="N17" s="18"/>
      <c r="O17" s="18"/>
      <c r="P17" s="18"/>
      <c r="Q17" s="18"/>
      <c r="R17" s="18"/>
    </row>
    <row r="18" spans="2:18" x14ac:dyDescent="0.15">
      <c r="B18" s="22" t="s">
        <v>25</v>
      </c>
      <c r="C18" s="47" t="s">
        <v>31</v>
      </c>
      <c r="D18" s="47" t="s">
        <v>31</v>
      </c>
      <c r="E18" s="47" t="s">
        <v>31</v>
      </c>
      <c r="F18" s="47" t="s">
        <v>31</v>
      </c>
      <c r="G18" s="47" t="s">
        <v>31</v>
      </c>
      <c r="H18" s="47" t="s">
        <v>31</v>
      </c>
      <c r="I18" s="46" t="s">
        <v>31</v>
      </c>
      <c r="J18" s="16" t="s">
        <v>61</v>
      </c>
      <c r="K18" s="50"/>
      <c r="L18" s="17"/>
      <c r="M18" s="18"/>
      <c r="N18" s="18"/>
      <c r="O18" s="18"/>
      <c r="P18" s="18"/>
      <c r="Q18" s="18"/>
      <c r="R18" s="18"/>
    </row>
    <row r="19" spans="2:18" x14ac:dyDescent="0.15">
      <c r="B19" s="22" t="s">
        <v>26</v>
      </c>
      <c r="C19" s="47" t="s">
        <v>31</v>
      </c>
      <c r="D19" s="47" t="s">
        <v>31</v>
      </c>
      <c r="E19" s="47" t="s">
        <v>31</v>
      </c>
      <c r="F19" s="47" t="s">
        <v>31</v>
      </c>
      <c r="G19" s="47" t="s">
        <v>31</v>
      </c>
      <c r="H19" s="47" t="s">
        <v>31</v>
      </c>
      <c r="I19" s="46" t="s">
        <v>31</v>
      </c>
      <c r="J19" s="16" t="s">
        <v>61</v>
      </c>
      <c r="K19" s="50"/>
      <c r="L19" s="17"/>
      <c r="M19" s="18"/>
      <c r="N19" s="18"/>
      <c r="O19" s="18"/>
      <c r="P19" s="18"/>
      <c r="Q19" s="18"/>
      <c r="R19" s="18"/>
    </row>
    <row r="20" spans="2:18" x14ac:dyDescent="0.15">
      <c r="B20" s="22" t="s">
        <v>27</v>
      </c>
      <c r="C20" s="47" t="s">
        <v>31</v>
      </c>
      <c r="D20" s="47" t="s">
        <v>31</v>
      </c>
      <c r="E20" s="47" t="s">
        <v>31</v>
      </c>
      <c r="F20" s="47" t="s">
        <v>31</v>
      </c>
      <c r="G20" s="47" t="s">
        <v>31</v>
      </c>
      <c r="H20" s="47" t="s">
        <v>31</v>
      </c>
      <c r="I20" s="46" t="s">
        <v>31</v>
      </c>
      <c r="J20" s="16" t="s">
        <v>61</v>
      </c>
      <c r="K20" s="50"/>
      <c r="L20" s="17"/>
      <c r="M20" s="18"/>
      <c r="N20" s="18"/>
      <c r="O20" s="18"/>
      <c r="P20" s="18"/>
      <c r="Q20" s="18"/>
      <c r="R20" s="18"/>
    </row>
    <row r="21" spans="2:18" x14ac:dyDescent="0.15">
      <c r="B21" s="22" t="s">
        <v>28</v>
      </c>
      <c r="C21" s="47" t="s">
        <v>31</v>
      </c>
      <c r="D21" s="47" t="s">
        <v>31</v>
      </c>
      <c r="E21" s="47" t="s">
        <v>31</v>
      </c>
      <c r="F21" s="47" t="s">
        <v>31</v>
      </c>
      <c r="G21" s="47" t="s">
        <v>31</v>
      </c>
      <c r="H21" s="47" t="s">
        <v>31</v>
      </c>
      <c r="I21" s="46" t="s">
        <v>31</v>
      </c>
      <c r="J21" s="16" t="s">
        <v>61</v>
      </c>
      <c r="K21" s="50"/>
      <c r="L21" s="17"/>
      <c r="M21" s="18"/>
      <c r="N21" s="18"/>
      <c r="O21" s="18"/>
      <c r="P21" s="18"/>
      <c r="Q21" s="18"/>
      <c r="R21" s="18"/>
    </row>
    <row r="22" spans="2:18" x14ac:dyDescent="0.15">
      <c r="B22" s="24" t="s">
        <v>29</v>
      </c>
      <c r="C22" s="55"/>
      <c r="D22" s="28"/>
      <c r="E22" s="28"/>
      <c r="F22" s="28"/>
      <c r="G22" s="28"/>
      <c r="H22" s="28"/>
      <c r="I22" s="28"/>
      <c r="J22" s="28"/>
      <c r="K22" s="29"/>
      <c r="L22" s="261"/>
      <c r="M22" s="261"/>
      <c r="N22" s="261"/>
      <c r="O22" s="261"/>
      <c r="P22" s="261"/>
      <c r="Q22" s="261"/>
      <c r="R22" s="261"/>
    </row>
    <row r="23" spans="2:18" x14ac:dyDescent="0.15">
      <c r="B23" s="22" t="s">
        <v>30</v>
      </c>
      <c r="C23" s="31">
        <v>0</v>
      </c>
      <c r="D23" s="31">
        <v>0</v>
      </c>
      <c r="E23" s="31">
        <v>0</v>
      </c>
      <c r="F23" s="31"/>
      <c r="G23" s="31"/>
      <c r="H23" s="31"/>
      <c r="I23" s="31"/>
      <c r="J23" s="30"/>
      <c r="K23" s="50"/>
      <c r="L23" s="17"/>
      <c r="M23" s="18"/>
      <c r="N23" s="18"/>
      <c r="O23" s="18"/>
      <c r="P23" s="18"/>
      <c r="Q23" s="18"/>
      <c r="R23" s="18"/>
    </row>
    <row r="24" spans="2:18" x14ac:dyDescent="0.15">
      <c r="B24" s="22" t="s">
        <v>33</v>
      </c>
      <c r="C24" s="31">
        <v>0</v>
      </c>
      <c r="D24" s="31">
        <v>0</v>
      </c>
      <c r="E24" s="31">
        <v>0</v>
      </c>
      <c r="F24" s="31"/>
      <c r="G24" s="31"/>
      <c r="H24" s="31"/>
      <c r="I24" s="31"/>
      <c r="J24" s="30"/>
      <c r="K24" s="50"/>
      <c r="L24" s="17"/>
      <c r="M24" s="18"/>
      <c r="N24" s="18"/>
      <c r="O24" s="18"/>
      <c r="P24" s="18"/>
      <c r="Q24" s="18"/>
      <c r="R24" s="18"/>
    </row>
    <row r="25" spans="2:18" ht="15" customHeight="1" x14ac:dyDescent="0.15">
      <c r="B25" s="22" t="s">
        <v>34</v>
      </c>
      <c r="C25" s="31">
        <v>0</v>
      </c>
      <c r="D25" s="31">
        <v>0</v>
      </c>
      <c r="E25" s="31">
        <v>0</v>
      </c>
      <c r="F25" s="31"/>
      <c r="G25" s="31"/>
      <c r="H25" s="31"/>
      <c r="I25" s="31"/>
      <c r="J25" s="32"/>
      <c r="K25" s="50"/>
      <c r="L25" s="17"/>
      <c r="M25" s="18"/>
      <c r="N25" s="18"/>
      <c r="O25" s="18"/>
      <c r="P25" s="18"/>
      <c r="Q25" s="18"/>
      <c r="R25" s="18"/>
    </row>
    <row r="26" spans="2:18" x14ac:dyDescent="0.15">
      <c r="B26" s="22" t="s">
        <v>35</v>
      </c>
      <c r="C26" s="31">
        <v>0</v>
      </c>
      <c r="D26" s="31">
        <v>0</v>
      </c>
      <c r="E26" s="31">
        <v>0</v>
      </c>
      <c r="F26" s="31"/>
      <c r="G26" s="31"/>
      <c r="H26" s="31"/>
      <c r="I26" s="31"/>
      <c r="J26" s="16"/>
      <c r="K26" s="16"/>
      <c r="L26" s="17"/>
      <c r="M26" s="33"/>
      <c r="N26" s="33"/>
      <c r="O26" s="33"/>
      <c r="P26" s="33"/>
      <c r="Q26" s="18"/>
      <c r="R26" s="18"/>
    </row>
    <row r="27" spans="2:18" x14ac:dyDescent="0.15">
      <c r="B27" s="22" t="s">
        <v>36</v>
      </c>
      <c r="C27" s="31">
        <v>0</v>
      </c>
      <c r="D27" s="31">
        <v>0</v>
      </c>
      <c r="E27" s="31">
        <v>0</v>
      </c>
      <c r="F27" s="31"/>
      <c r="G27" s="31"/>
      <c r="H27" s="31"/>
      <c r="I27" s="31"/>
      <c r="J27" s="16"/>
      <c r="K27" s="16"/>
      <c r="L27" s="261"/>
      <c r="M27" s="261"/>
      <c r="N27" s="261"/>
      <c r="O27" s="261"/>
      <c r="P27" s="261"/>
      <c r="Q27" s="261"/>
      <c r="R27" s="261"/>
    </row>
    <row r="28" spans="2:18" x14ac:dyDescent="0.15">
      <c r="B28" s="24" t="s">
        <v>37</v>
      </c>
      <c r="C28" s="28"/>
      <c r="D28" s="28"/>
      <c r="E28" s="28"/>
      <c r="F28" s="28"/>
      <c r="G28" s="28"/>
      <c r="H28" s="28"/>
      <c r="I28" s="28"/>
      <c r="J28" s="28"/>
      <c r="K28" s="29"/>
      <c r="L28" s="17"/>
      <c r="M28" s="18"/>
      <c r="N28" s="18"/>
      <c r="O28" s="18"/>
      <c r="P28" s="18"/>
      <c r="Q28" s="18"/>
      <c r="R28" s="18"/>
    </row>
    <row r="29" spans="2:18" x14ac:dyDescent="0.15">
      <c r="B29" s="22" t="s">
        <v>136</v>
      </c>
      <c r="C29" s="76">
        <f>C49</f>
        <v>0.89100000000000013</v>
      </c>
      <c r="D29" s="76">
        <f t="shared" ref="D29:E29" si="1">D49</f>
        <v>0.65934000000000015</v>
      </c>
      <c r="E29" s="76">
        <f t="shared" si="1"/>
        <v>0.48131820000000003</v>
      </c>
      <c r="F29" s="49">
        <f>'Ground-mounted PV'!F29*1.19</f>
        <v>0.83299999999999996</v>
      </c>
      <c r="G29" s="49">
        <f>'Ground-mounted PV'!G29*1.19</f>
        <v>1.4279999999999999</v>
      </c>
      <c r="H29" s="49">
        <f>'Ground-mounted PV'!H29*1.19</f>
        <v>0.36890000000000001</v>
      </c>
      <c r="I29" s="120">
        <f>'Ground-mounted PV'!I29*1.19</f>
        <v>0.84489999999999987</v>
      </c>
      <c r="J29" s="16" t="s">
        <v>137</v>
      </c>
      <c r="K29" s="50" t="s">
        <v>116</v>
      </c>
      <c r="L29" s="17"/>
      <c r="M29" s="35"/>
      <c r="N29" s="35"/>
      <c r="O29" s="35"/>
      <c r="P29" s="35"/>
      <c r="Q29" s="18"/>
      <c r="R29" s="18"/>
    </row>
    <row r="30" spans="2:18" x14ac:dyDescent="0.15">
      <c r="B30" s="22" t="s">
        <v>40</v>
      </c>
      <c r="C30" s="80">
        <f>C46/C48</f>
        <v>0.50617283950617276</v>
      </c>
      <c r="D30" s="80">
        <f t="shared" ref="D30:E30" si="2">D46/D48</f>
        <v>0.49933266599933257</v>
      </c>
      <c r="E30" s="80">
        <f t="shared" si="2"/>
        <v>0.47197197197197183</v>
      </c>
      <c r="F30" s="122"/>
      <c r="G30" s="122"/>
      <c r="H30" s="122"/>
      <c r="I30" s="122"/>
      <c r="J30" s="16"/>
      <c r="K30" s="16"/>
      <c r="L30" s="17"/>
      <c r="M30" s="35"/>
      <c r="N30" s="35"/>
      <c r="O30" s="35"/>
      <c r="P30" s="35"/>
      <c r="Q30" s="18"/>
      <c r="R30" s="18"/>
    </row>
    <row r="31" spans="2:18" x14ac:dyDescent="0.15">
      <c r="B31" s="22" t="s">
        <v>41</v>
      </c>
      <c r="C31" s="80">
        <f>100%-C30</f>
        <v>0.49382716049382724</v>
      </c>
      <c r="D31" s="80">
        <f t="shared" ref="D31:E31" si="3">100%-D30</f>
        <v>0.50066733400066743</v>
      </c>
      <c r="E31" s="80">
        <f t="shared" si="3"/>
        <v>0.52802802802802817</v>
      </c>
      <c r="F31" s="122"/>
      <c r="G31" s="122"/>
      <c r="H31" s="122"/>
      <c r="I31" s="122"/>
      <c r="J31" s="16"/>
      <c r="K31" s="16"/>
      <c r="L31" s="17"/>
      <c r="M31" s="35"/>
      <c r="N31" s="35"/>
      <c r="O31" s="35"/>
      <c r="P31" s="35"/>
      <c r="Q31" s="18"/>
      <c r="R31" s="18"/>
    </row>
    <row r="32" spans="2:18" x14ac:dyDescent="0.15">
      <c r="B32" s="22" t="s">
        <v>42</v>
      </c>
      <c r="C32" s="82">
        <f>0.02*C48*1000000</f>
        <v>16200.000000000002</v>
      </c>
      <c r="D32" s="82">
        <f>MROUND($C32*(1/3+2/3*0.75),100)</f>
        <v>13500</v>
      </c>
      <c r="E32" s="82">
        <f>MROUND($C32*(1/3+2/3*0.55),100)</f>
        <v>11300</v>
      </c>
      <c r="F32" s="48">
        <f>MROUND($C32*0.75,100)</f>
        <v>12200</v>
      </c>
      <c r="G32" s="48">
        <f>MROUND($C32*1.25,100)</f>
        <v>20300</v>
      </c>
      <c r="H32" s="36">
        <f>MROUND($E32*0.75,100)</f>
        <v>8500</v>
      </c>
      <c r="I32" s="36">
        <f>MROUND($E32*1.25,100)</f>
        <v>14100</v>
      </c>
      <c r="J32" s="84" t="s">
        <v>138</v>
      </c>
      <c r="K32" s="50" t="s">
        <v>139</v>
      </c>
      <c r="L32" s="17"/>
      <c r="M32" s="35"/>
      <c r="N32" s="35"/>
      <c r="O32" s="35"/>
      <c r="P32" s="35"/>
      <c r="Q32" s="18"/>
      <c r="R32" s="18"/>
    </row>
    <row r="33" spans="1:18" x14ac:dyDescent="0.15">
      <c r="B33" s="22" t="s">
        <v>45</v>
      </c>
      <c r="C33" s="85">
        <v>0</v>
      </c>
      <c r="D33" s="85">
        <v>0</v>
      </c>
      <c r="E33" s="85">
        <v>0</v>
      </c>
      <c r="F33" s="47">
        <v>0</v>
      </c>
      <c r="G33" s="47">
        <v>0</v>
      </c>
      <c r="H33" s="47">
        <v>0</v>
      </c>
      <c r="I33" s="36">
        <v>0</v>
      </c>
      <c r="J33" s="16"/>
      <c r="K33" s="50"/>
      <c r="L33" s="17"/>
      <c r="M33" s="35"/>
      <c r="N33" s="35"/>
      <c r="O33" s="35"/>
      <c r="P33" s="35"/>
      <c r="Q33" s="18"/>
      <c r="R33" s="18"/>
    </row>
    <row r="34" spans="1:18" x14ac:dyDescent="0.15">
      <c r="B34" s="22" t="s">
        <v>46</v>
      </c>
      <c r="C34" s="85">
        <v>0</v>
      </c>
      <c r="D34" s="85">
        <v>0</v>
      </c>
      <c r="E34" s="85">
        <v>0</v>
      </c>
      <c r="F34" s="47">
        <v>0</v>
      </c>
      <c r="G34" s="47">
        <v>0</v>
      </c>
      <c r="H34" s="47">
        <v>0</v>
      </c>
      <c r="I34" s="36">
        <v>0</v>
      </c>
      <c r="J34" s="16"/>
      <c r="K34" s="50"/>
      <c r="L34" s="261"/>
      <c r="M34" s="261"/>
      <c r="N34" s="261"/>
      <c r="O34" s="261"/>
      <c r="P34" s="261"/>
      <c r="Q34" s="261"/>
      <c r="R34" s="261"/>
    </row>
    <row r="35" spans="1:18" x14ac:dyDescent="0.15">
      <c r="B35" s="86" t="s">
        <v>47</v>
      </c>
      <c r="C35" s="87"/>
      <c r="D35" s="87"/>
      <c r="E35" s="87"/>
      <c r="F35" s="123"/>
      <c r="G35" s="123"/>
      <c r="H35" s="123"/>
      <c r="I35" s="123"/>
      <c r="J35" s="123"/>
      <c r="K35" s="124"/>
      <c r="M35" s="18"/>
      <c r="N35" s="18"/>
      <c r="O35" s="18"/>
      <c r="P35" s="18"/>
      <c r="Q35" s="18"/>
      <c r="R35" s="18"/>
    </row>
    <row r="36" spans="1:18" ht="15" customHeight="1" x14ac:dyDescent="0.15">
      <c r="B36" s="89" t="s">
        <v>140</v>
      </c>
      <c r="C36" s="90">
        <f>'Ground-mounted PV'!C36</f>
        <v>1800</v>
      </c>
      <c r="D36" s="90">
        <f>'Ground-mounted PV'!D36</f>
        <v>1800</v>
      </c>
      <c r="E36" s="90">
        <f>'Ground-mounted PV'!E36</f>
        <v>1800</v>
      </c>
      <c r="F36" s="91"/>
      <c r="G36" s="91"/>
      <c r="H36" s="36"/>
      <c r="I36" s="36"/>
      <c r="J36" s="36" t="s">
        <v>77</v>
      </c>
      <c r="K36" s="54">
        <v>8</v>
      </c>
      <c r="M36" s="18"/>
      <c r="N36" s="18"/>
      <c r="O36" s="18"/>
      <c r="P36" s="18"/>
      <c r="Q36" s="18"/>
      <c r="R36" s="18"/>
    </row>
    <row r="37" spans="1:18" ht="15" customHeight="1" x14ac:dyDescent="0.15">
      <c r="B37" s="89" t="s">
        <v>141</v>
      </c>
      <c r="C37" s="110">
        <f>'Ground-mounted PV'!C37</f>
        <v>1.1000000000000001</v>
      </c>
      <c r="D37" s="110">
        <f>'Ground-mounted PV'!D37</f>
        <v>1.1000000000000001</v>
      </c>
      <c r="E37" s="110">
        <f>'Ground-mounted PV'!E37</f>
        <v>1.1000000000000001</v>
      </c>
      <c r="F37" s="91"/>
      <c r="G37" s="91"/>
      <c r="H37" s="36"/>
      <c r="I37" s="36"/>
      <c r="J37" s="36" t="s">
        <v>142</v>
      </c>
      <c r="K37" s="54"/>
      <c r="Q37" s="18"/>
      <c r="R37" s="18"/>
    </row>
    <row r="38" spans="1:18" ht="15" customHeight="1" x14ac:dyDescent="0.15">
      <c r="B38" s="89" t="s">
        <v>143</v>
      </c>
      <c r="C38" s="110">
        <f>'Ground-mounted PV'!C38</f>
        <v>1.01</v>
      </c>
      <c r="D38" s="110">
        <f>'Ground-mounted PV'!D38</f>
        <v>1.01</v>
      </c>
      <c r="E38" s="110">
        <f>'Ground-mounted PV'!E38</f>
        <v>1.01</v>
      </c>
      <c r="F38" s="91"/>
      <c r="G38" s="91"/>
      <c r="H38" s="36"/>
      <c r="I38" s="36"/>
      <c r="J38" s="36" t="s">
        <v>144</v>
      </c>
      <c r="K38" s="54">
        <v>8</v>
      </c>
      <c r="Q38" s="18"/>
      <c r="R38" s="18"/>
    </row>
    <row r="39" spans="1:18" ht="15" customHeight="1" x14ac:dyDescent="0.15">
      <c r="B39" s="89" t="s">
        <v>195</v>
      </c>
      <c r="C39" s="110">
        <f>'Ground-mounted PV'!C39</f>
        <v>0.86</v>
      </c>
      <c r="D39" s="110">
        <f>'Ground-mounted PV'!D39</f>
        <v>0.95</v>
      </c>
      <c r="E39" s="110">
        <f>'Ground-mounted PV'!E39</f>
        <v>0.97</v>
      </c>
      <c r="F39" s="91"/>
      <c r="G39" s="91"/>
      <c r="H39" s="36"/>
      <c r="I39" s="36"/>
      <c r="J39" s="36" t="s">
        <v>146</v>
      </c>
      <c r="K39" s="54">
        <v>5.6</v>
      </c>
      <c r="Q39" s="18"/>
      <c r="R39" s="18"/>
    </row>
    <row r="40" spans="1:18" ht="15" customHeight="1" x14ac:dyDescent="0.15">
      <c r="B40" s="89" t="s">
        <v>147</v>
      </c>
      <c r="C40" s="94">
        <f>'Ground-mounted PV'!C40</f>
        <v>0.20499999999999999</v>
      </c>
      <c r="D40" s="94">
        <f>'Ground-mounted PV'!D40</f>
        <v>0.23</v>
      </c>
      <c r="E40" s="94">
        <f>'Ground-mounted PV'!E40</f>
        <v>0.26</v>
      </c>
      <c r="F40" s="134"/>
      <c r="G40" s="134"/>
      <c r="H40" s="36"/>
      <c r="I40" s="36"/>
      <c r="J40" s="36"/>
      <c r="K40" s="54">
        <v>6</v>
      </c>
      <c r="Q40" s="18"/>
      <c r="R40" s="18"/>
    </row>
    <row r="41" spans="1:18" x14ac:dyDescent="0.15">
      <c r="A41" s="3"/>
      <c r="B41" s="96" t="s">
        <v>148</v>
      </c>
      <c r="C41" s="90">
        <f>'Ground-mounted PV'!C41</f>
        <v>15</v>
      </c>
      <c r="D41" s="90">
        <f>'Ground-mounted PV'!D41</f>
        <v>15</v>
      </c>
      <c r="E41" s="90">
        <f>'Ground-mounted PV'!E41</f>
        <v>15</v>
      </c>
      <c r="F41" s="98" t="s">
        <v>149</v>
      </c>
      <c r="G41" s="98"/>
      <c r="H41" s="129"/>
      <c r="I41" s="129"/>
      <c r="J41" s="16"/>
      <c r="K41" s="16">
        <v>6</v>
      </c>
    </row>
    <row r="42" spans="1:18" x14ac:dyDescent="0.15">
      <c r="A42" s="3"/>
      <c r="B42" s="100" t="s">
        <v>150</v>
      </c>
      <c r="C42" s="101"/>
      <c r="D42" s="101"/>
      <c r="E42" s="101"/>
      <c r="F42" s="130"/>
      <c r="G42" s="130"/>
      <c r="H42" s="131"/>
      <c r="I42" s="131"/>
      <c r="J42" s="123"/>
      <c r="K42" s="124"/>
    </row>
    <row r="43" spans="1:18" x14ac:dyDescent="0.15">
      <c r="A43" s="3"/>
      <c r="B43" s="103" t="s">
        <v>151</v>
      </c>
      <c r="C43" s="104">
        <f>MROUND(C44*C37,50)</f>
        <v>1700</v>
      </c>
      <c r="D43" s="104">
        <f>MROUND(D44*D37,50)</f>
        <v>1950</v>
      </c>
      <c r="E43" s="104">
        <f>MROUND(E44*E37,50)</f>
        <v>1950</v>
      </c>
      <c r="F43" s="105"/>
      <c r="G43" s="105" t="s">
        <v>149</v>
      </c>
      <c r="H43" s="132"/>
      <c r="I43" s="132"/>
      <c r="J43" s="36" t="s">
        <v>152</v>
      </c>
      <c r="K43" s="54"/>
    </row>
    <row r="44" spans="1:18" x14ac:dyDescent="0.15">
      <c r="A44" s="3"/>
      <c r="B44" s="89" t="s">
        <v>153</v>
      </c>
      <c r="C44" s="90">
        <f>MROUND(C36*C38*C39,50)</f>
        <v>1550</v>
      </c>
      <c r="D44" s="90">
        <f>MROUND(D36*D38*D39,50)</f>
        <v>1750</v>
      </c>
      <c r="E44" s="90">
        <f>MROUND(E36*E38*E39,50)</f>
        <v>1750</v>
      </c>
      <c r="F44" s="91"/>
      <c r="G44" s="91" t="s">
        <v>149</v>
      </c>
      <c r="H44" s="36"/>
      <c r="I44" s="36"/>
      <c r="J44" s="16" t="s">
        <v>154</v>
      </c>
      <c r="K44" s="16"/>
      <c r="M44" s="107"/>
    </row>
    <row r="45" spans="1:18" x14ac:dyDescent="0.15">
      <c r="A45" s="3"/>
      <c r="B45" s="100" t="s">
        <v>155</v>
      </c>
      <c r="C45" s="101"/>
      <c r="D45" s="101"/>
      <c r="E45" s="101"/>
      <c r="F45" s="130"/>
      <c r="G45" s="130"/>
      <c r="H45" s="131"/>
      <c r="I45" s="131"/>
      <c r="J45" s="123"/>
      <c r="K45" s="124"/>
      <c r="M45" s="107"/>
      <c r="N45" s="107"/>
      <c r="O45" s="107"/>
    </row>
    <row r="46" spans="1:18" x14ac:dyDescent="0.15">
      <c r="A46" s="3"/>
      <c r="B46" s="108" t="s">
        <v>156</v>
      </c>
      <c r="C46" s="93">
        <v>0.41</v>
      </c>
      <c r="D46" s="93">
        <f>C46*0.73</f>
        <v>0.29929999999999995</v>
      </c>
      <c r="E46" s="93">
        <f>D46*0.69</f>
        <v>0.20651699999999995</v>
      </c>
      <c r="F46" s="91"/>
      <c r="G46" s="91"/>
      <c r="H46" s="36"/>
      <c r="I46" s="36"/>
      <c r="J46" s="36"/>
      <c r="K46" s="54">
        <v>6.9</v>
      </c>
      <c r="M46" s="109"/>
      <c r="N46" s="109"/>
      <c r="O46" s="109"/>
    </row>
    <row r="47" spans="1:18" x14ac:dyDescent="0.15">
      <c r="A47" s="3"/>
      <c r="B47" s="108" t="s">
        <v>157</v>
      </c>
      <c r="C47" s="110">
        <f>C48-C46</f>
        <v>0.40000000000000008</v>
      </c>
      <c r="D47" s="110">
        <f t="shared" ref="D47:E47" si="4">D48-D46</f>
        <v>0.30010000000000009</v>
      </c>
      <c r="E47" s="110">
        <f t="shared" si="4"/>
        <v>0.23104500000000006</v>
      </c>
      <c r="F47" s="91"/>
      <c r="G47" s="91"/>
      <c r="H47" s="36"/>
      <c r="I47" s="36"/>
      <c r="J47" s="36"/>
      <c r="K47" s="54">
        <v>6.9</v>
      </c>
      <c r="M47" s="109"/>
      <c r="N47" s="109"/>
      <c r="O47" s="109"/>
    </row>
    <row r="48" spans="1:18" x14ac:dyDescent="0.15">
      <c r="A48" s="3"/>
      <c r="B48" s="108" t="s">
        <v>158</v>
      </c>
      <c r="C48" s="110">
        <v>0.81</v>
      </c>
      <c r="D48" s="110">
        <f>C48*0.74</f>
        <v>0.59940000000000004</v>
      </c>
      <c r="E48" s="110">
        <f>D48*0.73</f>
        <v>0.43756200000000001</v>
      </c>
      <c r="F48" s="91"/>
      <c r="G48" s="91"/>
      <c r="H48" s="36"/>
      <c r="I48" s="36"/>
      <c r="J48" s="36" t="s">
        <v>159</v>
      </c>
      <c r="K48" s="91" t="s">
        <v>160</v>
      </c>
      <c r="M48" s="109"/>
      <c r="N48" s="109"/>
      <c r="O48" s="109"/>
    </row>
    <row r="49" spans="1:16" x14ac:dyDescent="0.15">
      <c r="A49" s="3"/>
      <c r="B49" s="89" t="s">
        <v>196</v>
      </c>
      <c r="C49" s="110">
        <f>C48*1.1</f>
        <v>0.89100000000000013</v>
      </c>
      <c r="D49" s="110">
        <f t="shared" ref="D49:E49" si="5">D48*1.1</f>
        <v>0.65934000000000015</v>
      </c>
      <c r="E49" s="110">
        <f t="shared" si="5"/>
        <v>0.48131820000000003</v>
      </c>
      <c r="F49" s="91"/>
      <c r="G49" s="91"/>
      <c r="H49" s="36"/>
      <c r="I49" s="36"/>
      <c r="J49" s="36" t="s">
        <v>162</v>
      </c>
      <c r="K49" s="91"/>
    </row>
    <row r="50" spans="1:16" x14ac:dyDescent="0.15">
      <c r="A50" s="3"/>
      <c r="B50" s="4"/>
      <c r="C50" s="4"/>
      <c r="D50" s="4"/>
      <c r="E50" s="4"/>
      <c r="F50" s="4"/>
      <c r="G50" s="4"/>
      <c r="H50" s="4"/>
      <c r="I50" s="112"/>
      <c r="J50" s="112"/>
      <c r="K50" s="113"/>
    </row>
    <row r="51" spans="1:16" s="1" customFormat="1" x14ac:dyDescent="0.15">
      <c r="A51" s="3" t="s">
        <v>50</v>
      </c>
      <c r="C51" s="40"/>
      <c r="D51" s="40"/>
      <c r="E51" s="40"/>
      <c r="F51" s="40"/>
      <c r="G51" s="40"/>
      <c r="M51" s="4"/>
      <c r="N51" s="4"/>
      <c r="O51" s="4"/>
      <c r="P51" s="4"/>
    </row>
    <row r="52" spans="1:16" x14ac:dyDescent="0.15">
      <c r="A52" s="53">
        <v>1</v>
      </c>
      <c r="B52" s="53" t="s">
        <v>51</v>
      </c>
    </row>
    <row r="53" spans="1:16" x14ac:dyDescent="0.15">
      <c r="A53" s="53">
        <v>2</v>
      </c>
      <c r="B53" s="53" t="s">
        <v>163</v>
      </c>
    </row>
    <row r="54" spans="1:16" x14ac:dyDescent="0.15">
      <c r="A54" s="53">
        <v>3</v>
      </c>
      <c r="B54" s="53" t="s">
        <v>164</v>
      </c>
    </row>
    <row r="55" spans="1:16" x14ac:dyDescent="0.15">
      <c r="A55" s="53">
        <v>4</v>
      </c>
      <c r="B55" s="53" t="s">
        <v>54</v>
      </c>
    </row>
    <row r="56" spans="1:16" x14ac:dyDescent="0.15">
      <c r="A56" s="53">
        <v>5</v>
      </c>
      <c r="B56" s="53" t="s">
        <v>165</v>
      </c>
    </row>
    <row r="57" spans="1:16" x14ac:dyDescent="0.15">
      <c r="A57" s="53">
        <v>6</v>
      </c>
      <c r="B57" s="53" t="s">
        <v>166</v>
      </c>
    </row>
    <row r="58" spans="1:16" x14ac:dyDescent="0.15">
      <c r="A58" s="53">
        <v>7</v>
      </c>
      <c r="B58" s="53" t="s">
        <v>167</v>
      </c>
    </row>
    <row r="59" spans="1:16" x14ac:dyDescent="0.15">
      <c r="A59" s="53">
        <v>8</v>
      </c>
      <c r="B59" s="53" t="s">
        <v>168</v>
      </c>
    </row>
    <row r="60" spans="1:16" x14ac:dyDescent="0.15">
      <c r="A60" s="53">
        <v>9</v>
      </c>
      <c r="B60" s="53" t="s">
        <v>169</v>
      </c>
    </row>
    <row r="61" spans="1:16" x14ac:dyDescent="0.15">
      <c r="A61" s="1">
        <v>10</v>
      </c>
      <c r="B61" s="135" t="s">
        <v>200</v>
      </c>
    </row>
    <row r="62" spans="1:16" x14ac:dyDescent="0.15">
      <c r="A62" s="3" t="s">
        <v>59</v>
      </c>
    </row>
    <row r="63" spans="1:16" x14ac:dyDescent="0.15">
      <c r="A63" s="52" t="s">
        <v>13</v>
      </c>
      <c r="B63" s="75" t="s">
        <v>170</v>
      </c>
      <c r="C63" s="65"/>
      <c r="D63" s="65"/>
      <c r="E63" s="65"/>
      <c r="F63" s="65"/>
      <c r="G63" s="65"/>
      <c r="H63" s="65"/>
      <c r="I63" s="65"/>
      <c r="J63" s="65"/>
      <c r="K63" s="65"/>
    </row>
    <row r="64" spans="1:16" ht="13.5" customHeight="1" x14ac:dyDescent="0.15">
      <c r="A64" s="52" t="s">
        <v>61</v>
      </c>
      <c r="B64" s="75" t="s">
        <v>171</v>
      </c>
      <c r="C64" s="65"/>
      <c r="D64" s="65"/>
      <c r="E64" s="65"/>
      <c r="F64" s="65"/>
      <c r="G64" s="65"/>
      <c r="H64" s="65"/>
      <c r="I64" s="65"/>
      <c r="J64" s="65"/>
      <c r="K64" s="65"/>
    </row>
    <row r="65" spans="1:11" ht="15" customHeight="1" x14ac:dyDescent="0.15">
      <c r="A65" s="52" t="s">
        <v>32</v>
      </c>
      <c r="B65" s="75" t="s">
        <v>172</v>
      </c>
      <c r="C65" s="65"/>
      <c r="D65" s="65"/>
      <c r="E65" s="65"/>
      <c r="F65" s="65"/>
      <c r="G65" s="65"/>
      <c r="H65" s="65"/>
      <c r="I65" s="65"/>
      <c r="J65" s="65"/>
      <c r="K65" s="65"/>
    </row>
    <row r="66" spans="1:11" x14ac:dyDescent="0.15">
      <c r="A66" s="52" t="s">
        <v>64</v>
      </c>
      <c r="B66" s="75" t="s">
        <v>173</v>
      </c>
      <c r="C66" s="65"/>
      <c r="D66" s="65"/>
      <c r="E66" s="65"/>
      <c r="F66" s="65"/>
      <c r="G66" s="65"/>
      <c r="H66" s="65"/>
      <c r="I66" s="65"/>
      <c r="J66" s="65"/>
      <c r="K66" s="65"/>
    </row>
    <row r="67" spans="1:11" x14ac:dyDescent="0.15">
      <c r="A67" s="52" t="s">
        <v>66</v>
      </c>
      <c r="B67" s="75" t="s">
        <v>75</v>
      </c>
      <c r="C67" s="65"/>
      <c r="D67" s="65"/>
      <c r="E67" s="65"/>
      <c r="F67" s="65"/>
      <c r="G67" s="65"/>
      <c r="H67" s="65"/>
      <c r="I67" s="65"/>
      <c r="J67" s="65"/>
      <c r="K67" s="65"/>
    </row>
    <row r="68" spans="1:11" ht="26.25" customHeight="1" x14ac:dyDescent="0.15">
      <c r="A68" s="52" t="s">
        <v>77</v>
      </c>
      <c r="B68" s="255" t="s">
        <v>174</v>
      </c>
      <c r="C68" s="255"/>
      <c r="D68" s="255"/>
      <c r="E68" s="255"/>
      <c r="F68" s="255"/>
      <c r="G68" s="255"/>
      <c r="H68" s="255"/>
      <c r="I68" s="255"/>
      <c r="J68" s="255"/>
      <c r="K68" s="255"/>
    </row>
    <row r="69" spans="1:11" ht="25.5" customHeight="1" x14ac:dyDescent="0.15">
      <c r="A69" s="52" t="s">
        <v>142</v>
      </c>
      <c r="B69" s="255" t="s">
        <v>175</v>
      </c>
      <c r="C69" s="255"/>
      <c r="D69" s="255"/>
      <c r="E69" s="255"/>
      <c r="F69" s="255"/>
      <c r="G69" s="255"/>
      <c r="H69" s="255"/>
      <c r="I69" s="255"/>
      <c r="J69" s="255"/>
      <c r="K69" s="255"/>
    </row>
    <row r="70" spans="1:11" ht="39" customHeight="1" x14ac:dyDescent="0.15">
      <c r="A70" s="52" t="s">
        <v>144</v>
      </c>
      <c r="B70" s="255" t="s">
        <v>176</v>
      </c>
      <c r="C70" s="255"/>
      <c r="D70" s="255"/>
      <c r="E70" s="255"/>
      <c r="F70" s="255"/>
      <c r="G70" s="255"/>
      <c r="H70" s="255"/>
      <c r="I70" s="255"/>
      <c r="J70" s="255"/>
      <c r="K70" s="255"/>
    </row>
    <row r="71" spans="1:11" ht="90.75" customHeight="1" x14ac:dyDescent="0.15">
      <c r="A71" s="52" t="s">
        <v>146</v>
      </c>
      <c r="B71" s="255" t="s">
        <v>177</v>
      </c>
      <c r="C71" s="255"/>
      <c r="D71" s="255"/>
      <c r="E71" s="255"/>
      <c r="F71" s="255"/>
      <c r="G71" s="255"/>
      <c r="H71" s="255"/>
      <c r="I71" s="255"/>
      <c r="J71" s="255"/>
      <c r="K71" s="255"/>
    </row>
    <row r="72" spans="1:11" ht="25.5" customHeight="1" x14ac:dyDescent="0.15">
      <c r="A72" s="52" t="s">
        <v>178</v>
      </c>
      <c r="B72" s="255" t="s">
        <v>179</v>
      </c>
      <c r="C72" s="255"/>
      <c r="D72" s="255"/>
      <c r="E72" s="255"/>
      <c r="F72" s="255"/>
      <c r="G72" s="255"/>
      <c r="H72" s="255"/>
      <c r="I72" s="255"/>
      <c r="J72" s="255"/>
      <c r="K72" s="255"/>
    </row>
    <row r="73" spans="1:11" ht="24.75" customHeight="1" x14ac:dyDescent="0.15">
      <c r="A73" s="52" t="s">
        <v>180</v>
      </c>
      <c r="B73" s="255" t="s">
        <v>181</v>
      </c>
      <c r="C73" s="255"/>
      <c r="D73" s="255"/>
      <c r="E73" s="255"/>
      <c r="F73" s="255"/>
      <c r="G73" s="255"/>
      <c r="H73" s="255"/>
      <c r="I73" s="255"/>
      <c r="J73" s="255"/>
      <c r="K73" s="255"/>
    </row>
    <row r="74" spans="1:11" ht="16.5" customHeight="1" x14ac:dyDescent="0.15">
      <c r="A74" s="52" t="s">
        <v>182</v>
      </c>
      <c r="B74" s="75" t="s">
        <v>183</v>
      </c>
      <c r="C74" s="65"/>
      <c r="D74" s="65"/>
      <c r="E74" s="65"/>
      <c r="F74" s="65"/>
      <c r="G74" s="65"/>
      <c r="H74" s="65"/>
      <c r="I74" s="65"/>
      <c r="J74" s="65"/>
      <c r="K74" s="65"/>
    </row>
    <row r="75" spans="1:11" ht="63" customHeight="1" x14ac:dyDescent="0.15">
      <c r="A75" s="52" t="s">
        <v>159</v>
      </c>
      <c r="B75" s="255" t="s">
        <v>184</v>
      </c>
      <c r="C75" s="255"/>
      <c r="D75" s="255"/>
      <c r="E75" s="255"/>
      <c r="F75" s="255"/>
      <c r="G75" s="255"/>
      <c r="H75" s="255"/>
      <c r="I75" s="255"/>
      <c r="J75" s="255"/>
      <c r="K75" s="255"/>
    </row>
    <row r="76" spans="1:11" ht="14.25" customHeight="1" x14ac:dyDescent="0.15">
      <c r="A76" s="52" t="s">
        <v>185</v>
      </c>
      <c r="B76" s="75" t="s">
        <v>186</v>
      </c>
      <c r="C76" s="65"/>
      <c r="D76" s="65"/>
      <c r="E76" s="65"/>
      <c r="F76" s="65"/>
      <c r="G76" s="65"/>
      <c r="H76" s="65"/>
      <c r="I76" s="65"/>
      <c r="J76" s="65"/>
      <c r="K76" s="65"/>
    </row>
    <row r="77" spans="1:11" ht="15.75" customHeight="1" x14ac:dyDescent="0.15">
      <c r="A77" s="52" t="s">
        <v>187</v>
      </c>
      <c r="B77" s="75" t="s">
        <v>188</v>
      </c>
      <c r="C77" s="65"/>
      <c r="D77" s="65"/>
      <c r="E77" s="65"/>
      <c r="F77" s="65"/>
      <c r="G77" s="65"/>
      <c r="H77" s="65"/>
      <c r="I77" s="65"/>
      <c r="J77" s="65"/>
      <c r="K77" s="65"/>
    </row>
    <row r="78" spans="1:11" x14ac:dyDescent="0.15">
      <c r="A78" s="52" t="s">
        <v>189</v>
      </c>
      <c r="B78" s="53" t="s">
        <v>76</v>
      </c>
    </row>
    <row r="79" spans="1:11" ht="40.5" customHeight="1" x14ac:dyDescent="0.15">
      <c r="A79" s="59" t="s">
        <v>190</v>
      </c>
      <c r="B79" s="262" t="s">
        <v>191</v>
      </c>
      <c r="C79" s="262"/>
      <c r="D79" s="262"/>
      <c r="E79" s="262"/>
      <c r="F79" s="262"/>
      <c r="G79" s="262"/>
      <c r="H79" s="262"/>
      <c r="I79" s="262"/>
      <c r="J79" s="262"/>
      <c r="K79" s="262"/>
    </row>
  </sheetData>
  <mergeCells count="16">
    <mergeCell ref="L22:R22"/>
    <mergeCell ref="C3:K3"/>
    <mergeCell ref="M3:R3"/>
    <mergeCell ref="F4:G4"/>
    <mergeCell ref="H4:I4"/>
    <mergeCell ref="L5:R5"/>
    <mergeCell ref="B72:K72"/>
    <mergeCell ref="B73:K73"/>
    <mergeCell ref="B75:K75"/>
    <mergeCell ref="B79:K79"/>
    <mergeCell ref="L27:R27"/>
    <mergeCell ref="L34:R34"/>
    <mergeCell ref="B68:K68"/>
    <mergeCell ref="B69:K69"/>
    <mergeCell ref="B70:K70"/>
    <mergeCell ref="B71:K71"/>
  </mergeCells>
  <hyperlinks>
    <hyperlink ref="B61" r:id="rId1" display="Iselectric brochure. " xr:uid="{F7710477-E3A0-4A0F-B967-00F6AE381EF5}"/>
  </hyperlinks>
  <pageMargins left="0.70866141732283472" right="0.70866141732283472" top="0.74803149606299213" bottom="0.74803149606299213" header="0.31496062992125984" footer="0.31496062992125984"/>
  <pageSetup paperSize="9" scale="65"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7843-90AC-451E-A1F5-A6DB5FAF6643}">
  <sheetPr>
    <tabColor theme="4" tint="0.39997558519241921"/>
  </sheetPr>
  <dimension ref="A1:S51"/>
  <sheetViews>
    <sheetView topLeftCell="A2" zoomScale="70" zoomScaleNormal="70" zoomScaleSheetLayoutView="120" workbookViewId="0">
      <selection activeCell="U60" sqref="U6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0" width="6.5" style="1" customWidth="1"/>
    <col min="11" max="11" width="7"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201</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14">
        <v>3.5</v>
      </c>
      <c r="D6" s="14">
        <v>4</v>
      </c>
      <c r="E6" s="14">
        <v>5</v>
      </c>
      <c r="F6" s="14"/>
      <c r="G6" s="14"/>
      <c r="H6" s="14"/>
      <c r="I6" s="14"/>
      <c r="J6" s="15"/>
      <c r="K6" s="50">
        <v>3</v>
      </c>
      <c r="M6" s="17"/>
      <c r="N6" s="253"/>
      <c r="O6" s="254"/>
      <c r="P6" s="254"/>
      <c r="Q6" s="254"/>
      <c r="R6" s="254"/>
      <c r="S6" s="254"/>
    </row>
    <row r="7" spans="2:19" ht="15" customHeight="1" x14ac:dyDescent="0.15">
      <c r="B7" s="13" t="s">
        <v>11</v>
      </c>
      <c r="C7" s="47">
        <f>C6*20</f>
        <v>70</v>
      </c>
      <c r="D7" s="47">
        <f>D6*20</f>
        <v>80</v>
      </c>
      <c r="E7" s="47">
        <f>E6*20</f>
        <v>100</v>
      </c>
      <c r="F7" s="47"/>
      <c r="G7" s="47"/>
      <c r="H7" s="47"/>
      <c r="I7" s="47"/>
      <c r="J7" s="15"/>
      <c r="K7" s="50">
        <v>1</v>
      </c>
      <c r="M7" s="17"/>
      <c r="N7" s="60"/>
      <c r="O7" s="61"/>
      <c r="P7" s="61"/>
      <c r="Q7" s="61"/>
      <c r="R7" s="61"/>
      <c r="S7" s="61"/>
    </row>
    <row r="8" spans="2:19" x14ac:dyDescent="0.15">
      <c r="B8" s="13" t="s">
        <v>12</v>
      </c>
      <c r="C8" s="47">
        <v>100</v>
      </c>
      <c r="D8" s="47">
        <v>100</v>
      </c>
      <c r="E8" s="47">
        <v>100</v>
      </c>
      <c r="F8" s="47"/>
      <c r="G8" s="47"/>
      <c r="H8" s="47"/>
      <c r="I8" s="47"/>
      <c r="J8" s="15" t="s">
        <v>13</v>
      </c>
      <c r="K8" s="46"/>
      <c r="M8" s="17"/>
      <c r="N8" s="18"/>
      <c r="O8" s="18"/>
      <c r="P8" s="18"/>
      <c r="Q8" s="18"/>
      <c r="R8" s="18"/>
      <c r="S8" s="18"/>
    </row>
    <row r="9" spans="2:19" x14ac:dyDescent="0.15">
      <c r="B9" s="19" t="s">
        <v>14</v>
      </c>
      <c r="C9" s="47">
        <v>100</v>
      </c>
      <c r="D9" s="47">
        <v>100</v>
      </c>
      <c r="E9" s="47">
        <v>100</v>
      </c>
      <c r="F9" s="47"/>
      <c r="G9" s="47"/>
      <c r="H9" s="47"/>
      <c r="I9" s="47"/>
      <c r="J9" s="20"/>
      <c r="K9" s="66"/>
      <c r="M9" s="17"/>
      <c r="N9" s="18"/>
      <c r="O9" s="18"/>
      <c r="P9" s="18"/>
      <c r="Q9" s="18"/>
      <c r="R9" s="18"/>
      <c r="S9" s="18"/>
    </row>
    <row r="10" spans="2:19" x14ac:dyDescent="0.15">
      <c r="B10" s="13" t="s">
        <v>15</v>
      </c>
      <c r="C10" s="136">
        <v>2.5000000000000001E-2</v>
      </c>
      <c r="D10" s="136">
        <v>0.02</v>
      </c>
      <c r="E10" s="136">
        <v>0.02</v>
      </c>
      <c r="F10" s="47"/>
      <c r="G10" s="47"/>
      <c r="H10" s="47"/>
      <c r="I10" s="47"/>
      <c r="J10" s="15"/>
      <c r="K10" s="50"/>
      <c r="M10" s="1"/>
      <c r="N10" s="21"/>
      <c r="O10" s="21"/>
      <c r="P10" s="21"/>
      <c r="Q10" s="21"/>
      <c r="R10" s="21"/>
      <c r="S10" s="18"/>
    </row>
    <row r="11" spans="2:19" x14ac:dyDescent="0.15">
      <c r="B11" s="22" t="s">
        <v>16</v>
      </c>
      <c r="C11" s="76">
        <v>0.16</v>
      </c>
      <c r="D11" s="76">
        <v>0.16</v>
      </c>
      <c r="E11" s="76">
        <v>0.16</v>
      </c>
      <c r="F11" s="76">
        <v>0.05</v>
      </c>
      <c r="G11" s="76">
        <v>0.26</v>
      </c>
      <c r="H11" s="76">
        <v>0.05</v>
      </c>
      <c r="I11" s="76">
        <v>0.26</v>
      </c>
      <c r="J11" s="15"/>
      <c r="K11" s="50">
        <v>3</v>
      </c>
      <c r="M11" s="1"/>
      <c r="N11" s="21"/>
      <c r="O11" s="21"/>
      <c r="P11" s="21"/>
      <c r="Q11" s="21"/>
      <c r="R11" s="21"/>
      <c r="S11" s="18"/>
    </row>
    <row r="12" spans="2:19" x14ac:dyDescent="0.15">
      <c r="B12" s="22" t="s">
        <v>17</v>
      </c>
      <c r="C12" s="85">
        <v>27</v>
      </c>
      <c r="D12" s="85">
        <v>30</v>
      </c>
      <c r="E12" s="85">
        <v>30</v>
      </c>
      <c r="F12" s="85">
        <v>25</v>
      </c>
      <c r="G12" s="85">
        <v>35</v>
      </c>
      <c r="H12" s="85">
        <v>25</v>
      </c>
      <c r="I12" s="85">
        <v>40</v>
      </c>
      <c r="J12" s="15"/>
      <c r="K12" s="50">
        <v>3</v>
      </c>
      <c r="M12" s="17"/>
      <c r="N12" s="18"/>
      <c r="O12" s="18"/>
      <c r="P12" s="18"/>
      <c r="Q12" s="18"/>
      <c r="R12" s="18"/>
      <c r="S12" s="18"/>
    </row>
    <row r="13" spans="2:19" x14ac:dyDescent="0.15">
      <c r="B13" s="22" t="s">
        <v>18</v>
      </c>
      <c r="C13" s="14">
        <v>1.5</v>
      </c>
      <c r="D13" s="14">
        <v>1.5</v>
      </c>
      <c r="E13" s="14">
        <v>1.5</v>
      </c>
      <c r="F13" s="15"/>
      <c r="G13" s="15"/>
      <c r="H13" s="15"/>
      <c r="I13" s="47"/>
      <c r="J13" s="15"/>
      <c r="K13" s="50">
        <v>1</v>
      </c>
      <c r="M13" s="17"/>
      <c r="N13" s="18"/>
      <c r="O13" s="18"/>
      <c r="P13" s="18"/>
      <c r="Q13" s="18"/>
      <c r="R13" s="18"/>
      <c r="S13" s="18"/>
    </row>
    <row r="14" spans="2:19" x14ac:dyDescent="0.15">
      <c r="B14" s="23" t="s">
        <v>20</v>
      </c>
      <c r="C14" s="47">
        <v>14</v>
      </c>
      <c r="D14" s="47">
        <v>14</v>
      </c>
      <c r="E14" s="47">
        <v>14</v>
      </c>
      <c r="F14" s="46"/>
      <c r="G14" s="46"/>
      <c r="H14" s="46"/>
      <c r="I14" s="46"/>
      <c r="J14" s="16"/>
      <c r="K14" s="15">
        <v>1</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7">
        <v>35</v>
      </c>
      <c r="D16" s="47">
        <f>C16*1.016</f>
        <v>35.56</v>
      </c>
      <c r="E16" s="47">
        <f>C16*1.048</f>
        <v>36.68</v>
      </c>
      <c r="F16" s="47">
        <v>20</v>
      </c>
      <c r="G16" s="47">
        <v>45</v>
      </c>
      <c r="H16" s="47">
        <v>20</v>
      </c>
      <c r="I16" s="47">
        <v>45</v>
      </c>
      <c r="J16" s="15" t="s">
        <v>61</v>
      </c>
      <c r="K16" s="46"/>
      <c r="M16" s="17"/>
      <c r="N16" s="18"/>
      <c r="O16" s="18"/>
      <c r="P16" s="18"/>
      <c r="Q16" s="18"/>
      <c r="R16" s="18"/>
      <c r="S16" s="18"/>
    </row>
    <row r="17" spans="2:19" x14ac:dyDescent="0.15">
      <c r="B17" s="23" t="s">
        <v>23</v>
      </c>
      <c r="C17" s="47">
        <f>C16*(1-C10)*(1-C11/52)</f>
        <v>34.020000000000003</v>
      </c>
      <c r="D17" s="47">
        <f t="shared" ref="D17:E17" si="0">D16*(1-D10)*(1-D11/52)</f>
        <v>34.74157292307693</v>
      </c>
      <c r="E17" s="47">
        <f t="shared" si="0"/>
        <v>35.835795692307691</v>
      </c>
      <c r="F17" s="47"/>
      <c r="G17" s="47"/>
      <c r="H17" s="47"/>
      <c r="I17" s="46"/>
      <c r="J17" s="16"/>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t="s">
        <v>31</v>
      </c>
      <c r="D19" s="47" t="s">
        <v>31</v>
      </c>
      <c r="E19" s="47" t="s">
        <v>31</v>
      </c>
      <c r="F19" s="47"/>
      <c r="G19" s="47"/>
      <c r="H19" s="47"/>
      <c r="I19" s="46"/>
      <c r="J19" s="16" t="s">
        <v>77</v>
      </c>
      <c r="K19" s="50"/>
      <c r="L19" s="3"/>
      <c r="M19" s="17"/>
      <c r="N19" s="18"/>
      <c r="O19" s="18"/>
      <c r="P19" s="18"/>
      <c r="Q19" s="18"/>
      <c r="R19" s="18"/>
      <c r="S19" s="18"/>
    </row>
    <row r="20" spans="2:19" x14ac:dyDescent="0.15">
      <c r="B20" s="22" t="s">
        <v>26</v>
      </c>
      <c r="C20" s="47" t="s">
        <v>31</v>
      </c>
      <c r="D20" s="47" t="s">
        <v>31</v>
      </c>
      <c r="E20" s="47" t="s">
        <v>31</v>
      </c>
      <c r="F20" s="47"/>
      <c r="G20" s="47"/>
      <c r="H20" s="47"/>
      <c r="I20" s="46"/>
      <c r="J20" s="16" t="s">
        <v>77</v>
      </c>
      <c r="K20" s="50"/>
      <c r="M20" s="17"/>
      <c r="N20" s="18"/>
      <c r="O20" s="18"/>
      <c r="P20" s="18"/>
      <c r="Q20" s="18"/>
      <c r="R20" s="18"/>
      <c r="S20" s="18"/>
    </row>
    <row r="21" spans="2:19" x14ac:dyDescent="0.15">
      <c r="B21" s="22" t="s">
        <v>27</v>
      </c>
      <c r="C21" s="47" t="s">
        <v>31</v>
      </c>
      <c r="D21" s="47" t="s">
        <v>31</v>
      </c>
      <c r="E21" s="47" t="s">
        <v>31</v>
      </c>
      <c r="F21" s="47"/>
      <c r="G21" s="47"/>
      <c r="H21" s="47"/>
      <c r="I21" s="46"/>
      <c r="J21" s="16"/>
      <c r="K21" s="50"/>
      <c r="M21" s="17"/>
      <c r="N21" s="18"/>
      <c r="O21" s="18"/>
      <c r="P21" s="18"/>
      <c r="Q21" s="18"/>
      <c r="R21" s="18"/>
      <c r="S21" s="18"/>
    </row>
    <row r="22" spans="2:19" x14ac:dyDescent="0.15">
      <c r="B22" s="22" t="s">
        <v>28</v>
      </c>
      <c r="C22" s="47" t="s">
        <v>31</v>
      </c>
      <c r="D22" s="47" t="s">
        <v>31</v>
      </c>
      <c r="E22" s="47" t="s">
        <v>31</v>
      </c>
      <c r="F22" s="47"/>
      <c r="G22" s="47"/>
      <c r="H22" s="47"/>
      <c r="I22" s="46"/>
      <c r="J22" s="16"/>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76">
        <v>1.5</v>
      </c>
      <c r="D30" s="77">
        <f>C30*0.85</f>
        <v>1.2749999999999999</v>
      </c>
      <c r="E30" s="77">
        <f>C30*0.72</f>
        <v>1.08</v>
      </c>
      <c r="F30" s="49">
        <v>1.2</v>
      </c>
      <c r="G30" s="49">
        <v>2.35</v>
      </c>
      <c r="H30" s="49">
        <v>0.8</v>
      </c>
      <c r="I30" s="51">
        <v>1.85</v>
      </c>
      <c r="J30" s="16" t="s">
        <v>202</v>
      </c>
      <c r="K30" s="50">
        <v>1</v>
      </c>
      <c r="M30" s="17"/>
      <c r="N30" s="35"/>
      <c r="O30" s="35"/>
      <c r="P30" s="35"/>
      <c r="Q30" s="35"/>
      <c r="R30" s="18"/>
      <c r="S30" s="18"/>
    </row>
    <row r="31" spans="2:19" x14ac:dyDescent="0.15">
      <c r="B31" s="22" t="s">
        <v>40</v>
      </c>
      <c r="C31" s="80">
        <v>0.65</v>
      </c>
      <c r="D31" s="80">
        <v>0.65</v>
      </c>
      <c r="E31" s="80">
        <v>0.65</v>
      </c>
      <c r="F31" s="122"/>
      <c r="G31" s="122"/>
      <c r="H31" s="122"/>
      <c r="I31" s="122"/>
      <c r="J31" s="16" t="s">
        <v>32</v>
      </c>
      <c r="K31" s="16" t="s">
        <v>203</v>
      </c>
      <c r="M31" s="17"/>
      <c r="N31" s="35"/>
      <c r="O31" s="35"/>
      <c r="P31" s="35"/>
      <c r="Q31" s="35"/>
      <c r="R31" s="18"/>
      <c r="S31" s="18"/>
    </row>
    <row r="32" spans="2:19" x14ac:dyDescent="0.15">
      <c r="B32" s="22" t="s">
        <v>41</v>
      </c>
      <c r="C32" s="80">
        <v>0.35</v>
      </c>
      <c r="D32" s="80">
        <v>0.35</v>
      </c>
      <c r="E32" s="80">
        <v>0.35</v>
      </c>
      <c r="F32" s="122"/>
      <c r="G32" s="122"/>
      <c r="H32" s="122"/>
      <c r="I32" s="122"/>
      <c r="J32" s="16" t="s">
        <v>32</v>
      </c>
      <c r="K32" s="16" t="s">
        <v>203</v>
      </c>
      <c r="M32" s="17"/>
      <c r="N32" s="35"/>
      <c r="O32" s="35"/>
      <c r="P32" s="35"/>
      <c r="Q32" s="35"/>
      <c r="R32" s="18"/>
      <c r="S32" s="18"/>
    </row>
    <row r="33" spans="1:19" x14ac:dyDescent="0.15">
      <c r="B33" s="22" t="s">
        <v>42</v>
      </c>
      <c r="C33" s="82">
        <v>60000</v>
      </c>
      <c r="D33" s="82">
        <f>C33*0.85</f>
        <v>51000</v>
      </c>
      <c r="E33" s="82">
        <f>C33*0.72</f>
        <v>43200</v>
      </c>
      <c r="F33" s="48">
        <v>30000</v>
      </c>
      <c r="G33" s="48">
        <v>70000</v>
      </c>
      <c r="H33" s="36">
        <v>25000</v>
      </c>
      <c r="I33" s="36">
        <v>60000</v>
      </c>
      <c r="J33" s="16"/>
      <c r="K33" s="50">
        <v>4</v>
      </c>
      <c r="M33" s="17"/>
      <c r="N33" s="35"/>
      <c r="O33" s="35"/>
      <c r="P33" s="35"/>
      <c r="Q33" s="35"/>
      <c r="R33" s="18"/>
      <c r="S33" s="18"/>
    </row>
    <row r="34" spans="1:19" x14ac:dyDescent="0.15">
      <c r="B34" s="22" t="s">
        <v>45</v>
      </c>
      <c r="C34" s="85">
        <v>0</v>
      </c>
      <c r="D34" s="85">
        <v>0</v>
      </c>
      <c r="E34" s="85">
        <v>0</v>
      </c>
      <c r="F34" s="47"/>
      <c r="G34" s="47"/>
      <c r="H34" s="47"/>
      <c r="I34" s="36"/>
      <c r="J34" s="16"/>
      <c r="K34" s="50">
        <v>4</v>
      </c>
      <c r="M34" s="17"/>
      <c r="N34" s="35"/>
      <c r="O34" s="35"/>
      <c r="P34" s="35"/>
      <c r="Q34" s="35"/>
      <c r="R34" s="18"/>
      <c r="S34" s="18"/>
    </row>
    <row r="35" spans="1:19" x14ac:dyDescent="0.15">
      <c r="B35" s="22" t="s">
        <v>46</v>
      </c>
      <c r="C35" s="47">
        <v>0</v>
      </c>
      <c r="D35" s="47">
        <v>0</v>
      </c>
      <c r="E35" s="47">
        <v>0</v>
      </c>
      <c r="F35" s="47"/>
      <c r="G35" s="47"/>
      <c r="H35" s="47"/>
      <c r="I35" s="36"/>
      <c r="J35" s="16"/>
      <c r="K35" s="50"/>
      <c r="M35" s="261"/>
      <c r="N35" s="261"/>
      <c r="O35" s="261"/>
      <c r="P35" s="261"/>
      <c r="Q35" s="261"/>
      <c r="R35" s="261"/>
      <c r="S35" s="261"/>
    </row>
    <row r="36" spans="1:19" x14ac:dyDescent="0.15">
      <c r="A36" s="3"/>
      <c r="N36" s="18"/>
      <c r="O36" s="18"/>
      <c r="P36" s="18"/>
      <c r="Q36" s="18"/>
      <c r="R36" s="18"/>
      <c r="S36" s="18"/>
    </row>
    <row r="37" spans="1:19" ht="15" customHeight="1" x14ac:dyDescent="0.15">
      <c r="A37" s="3" t="s">
        <v>50</v>
      </c>
      <c r="C37" s="40"/>
      <c r="D37" s="40"/>
      <c r="E37" s="40"/>
      <c r="F37" s="40"/>
      <c r="G37" s="40"/>
      <c r="N37" s="18"/>
      <c r="O37" s="18"/>
      <c r="P37" s="18"/>
      <c r="Q37" s="18"/>
      <c r="R37" s="18"/>
      <c r="S37" s="18"/>
    </row>
    <row r="38" spans="1:19" x14ac:dyDescent="0.15">
      <c r="A38" s="53">
        <v>1</v>
      </c>
      <c r="B38" s="53" t="s">
        <v>204</v>
      </c>
      <c r="L38" s="4"/>
    </row>
    <row r="39" spans="1:19" s="1" customFormat="1" ht="12" x14ac:dyDescent="0.15">
      <c r="A39" s="53">
        <v>2</v>
      </c>
      <c r="B39" s="53" t="s">
        <v>205</v>
      </c>
    </row>
    <row r="40" spans="1:19" x14ac:dyDescent="0.15">
      <c r="A40" s="53">
        <v>3</v>
      </c>
      <c r="B40" s="255" t="s">
        <v>206</v>
      </c>
      <c r="C40" s="255"/>
      <c r="D40" s="255"/>
      <c r="E40" s="255"/>
      <c r="F40" s="255"/>
      <c r="G40" s="255"/>
      <c r="H40" s="255"/>
      <c r="I40" s="255"/>
      <c r="J40" s="255"/>
      <c r="K40" s="255"/>
    </row>
    <row r="41" spans="1:19" x14ac:dyDescent="0.15">
      <c r="A41" s="53">
        <v>4</v>
      </c>
      <c r="B41" s="53" t="s">
        <v>207</v>
      </c>
    </row>
    <row r="42" spans="1:19" ht="23.25" customHeight="1" x14ac:dyDescent="0.15">
      <c r="A42" s="53">
        <v>5</v>
      </c>
      <c r="B42" s="53" t="s">
        <v>208</v>
      </c>
    </row>
    <row r="43" spans="1:19" x14ac:dyDescent="0.15">
      <c r="A43" s="3" t="s">
        <v>59</v>
      </c>
    </row>
    <row r="44" spans="1:19" x14ac:dyDescent="0.15">
      <c r="A44" s="137" t="s">
        <v>13</v>
      </c>
      <c r="B44" s="53" t="s">
        <v>209</v>
      </c>
      <c r="C44" s="53"/>
      <c r="D44" s="53"/>
      <c r="E44" s="53"/>
      <c r="F44" s="53"/>
      <c r="G44" s="53"/>
      <c r="H44" s="53"/>
      <c r="I44" s="53"/>
      <c r="J44" s="53"/>
      <c r="K44" s="53"/>
    </row>
    <row r="45" spans="1:19" x14ac:dyDescent="0.15">
      <c r="A45" s="137" t="s">
        <v>61</v>
      </c>
      <c r="B45" s="255" t="s">
        <v>210</v>
      </c>
      <c r="C45" s="255"/>
      <c r="D45" s="255"/>
      <c r="E45" s="255"/>
      <c r="F45" s="255"/>
      <c r="G45" s="255"/>
      <c r="H45" s="255"/>
      <c r="I45" s="255"/>
      <c r="J45" s="255"/>
      <c r="K45" s="255"/>
    </row>
    <row r="46" spans="1:19" x14ac:dyDescent="0.15">
      <c r="A46" s="137" t="s">
        <v>32</v>
      </c>
      <c r="B46" s="255" t="s">
        <v>211</v>
      </c>
      <c r="C46" s="255"/>
      <c r="D46" s="255"/>
      <c r="E46" s="255"/>
      <c r="F46" s="255"/>
      <c r="G46" s="255"/>
      <c r="H46" s="255"/>
      <c r="I46" s="255"/>
      <c r="J46" s="255"/>
      <c r="K46" s="255"/>
    </row>
    <row r="47" spans="1:19" ht="26.25" customHeight="1" x14ac:dyDescent="0.15">
      <c r="A47" s="137" t="s">
        <v>64</v>
      </c>
      <c r="B47" s="255" t="s">
        <v>212</v>
      </c>
      <c r="C47" s="255"/>
      <c r="D47" s="255"/>
      <c r="E47" s="255"/>
      <c r="F47" s="255"/>
      <c r="G47" s="255"/>
      <c r="H47" s="255"/>
      <c r="I47" s="255"/>
      <c r="J47" s="255"/>
      <c r="K47" s="255"/>
    </row>
    <row r="48" spans="1:19" ht="26.25" customHeight="1" x14ac:dyDescent="0.15">
      <c r="A48" s="137" t="s">
        <v>66</v>
      </c>
      <c r="B48" s="53" t="s">
        <v>75</v>
      </c>
      <c r="C48" s="53"/>
      <c r="D48" s="53"/>
      <c r="E48" s="53"/>
      <c r="F48" s="53"/>
      <c r="G48" s="53"/>
      <c r="H48" s="53"/>
      <c r="I48" s="53"/>
      <c r="J48" s="53"/>
      <c r="K48" s="53"/>
      <c r="O48" s="138"/>
    </row>
    <row r="49" spans="1:15" ht="37.5" customHeight="1" x14ac:dyDescent="0.15">
      <c r="A49" s="137" t="s">
        <v>77</v>
      </c>
      <c r="B49" s="255" t="s">
        <v>213</v>
      </c>
      <c r="C49" s="255"/>
      <c r="D49" s="255"/>
      <c r="E49" s="255"/>
      <c r="F49" s="255"/>
      <c r="G49" s="255"/>
      <c r="H49" s="255"/>
      <c r="I49" s="255"/>
      <c r="J49" s="255"/>
      <c r="K49" s="255"/>
    </row>
    <row r="50" spans="1:15" ht="47.25" customHeight="1" x14ac:dyDescent="0.15">
      <c r="A50" s="137" t="s">
        <v>142</v>
      </c>
      <c r="B50" s="262" t="s">
        <v>80</v>
      </c>
      <c r="C50" s="262"/>
      <c r="D50" s="262"/>
      <c r="E50" s="262"/>
      <c r="F50" s="262"/>
      <c r="G50" s="262"/>
      <c r="H50" s="262"/>
      <c r="I50" s="262"/>
      <c r="J50" s="262"/>
      <c r="K50" s="262"/>
      <c r="O50" s="139"/>
    </row>
    <row r="51" spans="1:15" ht="39.75" customHeight="1" x14ac:dyDescent="0.15">
      <c r="A51" s="41"/>
    </row>
  </sheetData>
  <mergeCells count="15">
    <mergeCell ref="N6:S6"/>
    <mergeCell ref="C3:K3"/>
    <mergeCell ref="N3:S3"/>
    <mergeCell ref="F4:G4"/>
    <mergeCell ref="H4:I4"/>
    <mergeCell ref="M5:S5"/>
    <mergeCell ref="B47:K47"/>
    <mergeCell ref="B49:K49"/>
    <mergeCell ref="B50:K50"/>
    <mergeCell ref="M23:S23"/>
    <mergeCell ref="M28:S28"/>
    <mergeCell ref="M35:S35"/>
    <mergeCell ref="B40:K40"/>
    <mergeCell ref="B45:K45"/>
    <mergeCell ref="B46:K4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ED2-DA89-4C8E-A6BF-0D741ECAA14B}">
  <sheetPr>
    <tabColor theme="4" tint="0.39997558519241921"/>
  </sheetPr>
  <dimension ref="A1:S52"/>
  <sheetViews>
    <sheetView topLeftCell="A9" zoomScale="70" zoomScaleNormal="70" zoomScaleSheetLayoutView="120" workbookViewId="0">
      <selection activeCell="U60" sqref="U6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0" width="6.5" style="1" customWidth="1"/>
    <col min="11" max="11" width="7"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214</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40" t="s">
        <v>10</v>
      </c>
      <c r="C6" s="76">
        <v>0.85</v>
      </c>
      <c r="D6" s="76">
        <v>0.9</v>
      </c>
      <c r="E6" s="76">
        <v>0.95</v>
      </c>
      <c r="F6" s="141"/>
      <c r="G6" s="141"/>
      <c r="H6" s="141"/>
      <c r="I6" s="141"/>
      <c r="J6" s="142"/>
      <c r="K6" s="50">
        <v>6</v>
      </c>
      <c r="M6" s="17"/>
      <c r="N6" s="253"/>
      <c r="O6" s="254"/>
      <c r="P6" s="254"/>
      <c r="Q6" s="254"/>
      <c r="R6" s="254"/>
      <c r="S6" s="254"/>
    </row>
    <row r="7" spans="2:19" ht="15" customHeight="1" x14ac:dyDescent="0.15">
      <c r="B7" s="140" t="s">
        <v>11</v>
      </c>
      <c r="C7" s="85">
        <f>C6*15</f>
        <v>12.75</v>
      </c>
      <c r="D7" s="85">
        <f>D6*20</f>
        <v>18</v>
      </c>
      <c r="E7" s="85">
        <f>E6*20</f>
        <v>19</v>
      </c>
      <c r="F7" s="85"/>
      <c r="G7" s="85"/>
      <c r="H7" s="85"/>
      <c r="I7" s="85"/>
      <c r="J7" s="142"/>
      <c r="K7" s="50">
        <v>5</v>
      </c>
      <c r="M7" s="17"/>
      <c r="N7" s="60"/>
      <c r="O7" s="61"/>
      <c r="P7" s="61"/>
      <c r="Q7" s="61"/>
      <c r="R7" s="61"/>
      <c r="S7" s="61"/>
    </row>
    <row r="8" spans="2:19" x14ac:dyDescent="0.15">
      <c r="B8" s="140" t="s">
        <v>12</v>
      </c>
      <c r="C8" s="85">
        <v>100</v>
      </c>
      <c r="D8" s="85">
        <v>100</v>
      </c>
      <c r="E8" s="85">
        <v>100</v>
      </c>
      <c r="F8" s="85"/>
      <c r="G8" s="85"/>
      <c r="H8" s="85"/>
      <c r="I8" s="85"/>
      <c r="J8" s="142" t="s">
        <v>13</v>
      </c>
      <c r="K8" s="46"/>
      <c r="M8" s="17"/>
      <c r="N8" s="18"/>
      <c r="O8" s="18"/>
      <c r="P8" s="18"/>
      <c r="Q8" s="18"/>
      <c r="R8" s="18"/>
      <c r="S8" s="18"/>
    </row>
    <row r="9" spans="2:19" x14ac:dyDescent="0.15">
      <c r="B9" s="143" t="s">
        <v>14</v>
      </c>
      <c r="C9" s="85">
        <v>100</v>
      </c>
      <c r="D9" s="85">
        <v>100</v>
      </c>
      <c r="E9" s="85">
        <v>100</v>
      </c>
      <c r="F9" s="85"/>
      <c r="G9" s="85"/>
      <c r="H9" s="85"/>
      <c r="I9" s="85"/>
      <c r="J9" s="144"/>
      <c r="K9" s="66"/>
      <c r="M9" s="17"/>
      <c r="N9" s="18"/>
      <c r="O9" s="18"/>
      <c r="P9" s="18"/>
      <c r="Q9" s="18"/>
      <c r="R9" s="18"/>
      <c r="S9" s="18"/>
    </row>
    <row r="10" spans="2:19" x14ac:dyDescent="0.15">
      <c r="B10" s="140" t="s">
        <v>15</v>
      </c>
      <c r="C10" s="145">
        <v>0.03</v>
      </c>
      <c r="D10" s="145">
        <v>2.5000000000000001E-2</v>
      </c>
      <c r="E10" s="145">
        <v>0.02</v>
      </c>
      <c r="F10" s="85"/>
      <c r="G10" s="85"/>
      <c r="H10" s="85"/>
      <c r="I10" s="85"/>
      <c r="J10" s="142"/>
      <c r="K10" s="50"/>
      <c r="M10" s="1"/>
      <c r="N10" s="21"/>
      <c r="O10" s="21"/>
      <c r="P10" s="21"/>
      <c r="Q10" s="21"/>
      <c r="R10" s="21"/>
      <c r="S10" s="18"/>
    </row>
    <row r="11" spans="2:19" x14ac:dyDescent="0.15">
      <c r="B11" s="146" t="s">
        <v>16</v>
      </c>
      <c r="C11" s="76">
        <v>0.16</v>
      </c>
      <c r="D11" s="76">
        <v>0.16</v>
      </c>
      <c r="E11" s="76">
        <v>0.16</v>
      </c>
      <c r="F11" s="76">
        <v>0.05</v>
      </c>
      <c r="G11" s="76">
        <v>0.26</v>
      </c>
      <c r="H11" s="76">
        <v>0.05</v>
      </c>
      <c r="I11" s="76">
        <v>0.26</v>
      </c>
      <c r="J11" s="142"/>
      <c r="K11" s="50">
        <v>3</v>
      </c>
      <c r="M11" s="1"/>
      <c r="N11" s="21"/>
      <c r="O11" s="21"/>
      <c r="P11" s="21"/>
      <c r="Q11" s="21"/>
      <c r="R11" s="21"/>
      <c r="S11" s="18"/>
    </row>
    <row r="12" spans="2:19" x14ac:dyDescent="0.15">
      <c r="B12" s="146" t="s">
        <v>17</v>
      </c>
      <c r="C12" s="85">
        <v>27</v>
      </c>
      <c r="D12" s="85">
        <v>30</v>
      </c>
      <c r="E12" s="85">
        <v>30</v>
      </c>
      <c r="F12" s="85">
        <v>25</v>
      </c>
      <c r="G12" s="85">
        <v>35</v>
      </c>
      <c r="H12" s="85">
        <v>25</v>
      </c>
      <c r="I12" s="85">
        <v>40</v>
      </c>
      <c r="J12" s="142"/>
      <c r="K12" s="50">
        <v>3</v>
      </c>
      <c r="M12" s="17"/>
      <c r="N12" s="18"/>
      <c r="O12" s="18"/>
      <c r="P12" s="18"/>
      <c r="Q12" s="18"/>
      <c r="R12" s="18"/>
      <c r="S12" s="18"/>
    </row>
    <row r="13" spans="2:19" x14ac:dyDescent="0.15">
      <c r="B13" s="146" t="s">
        <v>18</v>
      </c>
      <c r="C13" s="141">
        <v>1</v>
      </c>
      <c r="D13" s="141">
        <v>1</v>
      </c>
      <c r="E13" s="141">
        <v>1</v>
      </c>
      <c r="F13" s="142"/>
      <c r="G13" s="142"/>
      <c r="H13" s="142"/>
      <c r="I13" s="85"/>
      <c r="J13" s="142"/>
      <c r="K13" s="50" t="s">
        <v>215</v>
      </c>
      <c r="M13" s="17"/>
      <c r="N13" s="18"/>
      <c r="O13" s="18"/>
      <c r="P13" s="18"/>
      <c r="Q13" s="18"/>
      <c r="R13" s="18"/>
      <c r="S13" s="18"/>
    </row>
    <row r="14" spans="2:19" x14ac:dyDescent="0.15">
      <c r="B14" s="147" t="s">
        <v>20</v>
      </c>
      <c r="C14" s="85">
        <v>58</v>
      </c>
      <c r="D14" s="85">
        <v>58</v>
      </c>
      <c r="E14" s="85">
        <v>58</v>
      </c>
      <c r="F14" s="133"/>
      <c r="G14" s="133"/>
      <c r="H14" s="133"/>
      <c r="I14" s="133"/>
      <c r="J14" s="78"/>
      <c r="K14" s="15" t="s">
        <v>216</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35</v>
      </c>
      <c r="D16" s="67">
        <f>C16*1.016</f>
        <v>35.56</v>
      </c>
      <c r="E16" s="67">
        <f>C16*1.048</f>
        <v>36.68</v>
      </c>
      <c r="F16" s="46">
        <v>20</v>
      </c>
      <c r="G16" s="46">
        <v>45</v>
      </c>
      <c r="H16" s="46">
        <v>20</v>
      </c>
      <c r="I16" s="46">
        <v>45</v>
      </c>
      <c r="J16" s="16" t="s">
        <v>61</v>
      </c>
      <c r="K16" s="46">
        <v>2</v>
      </c>
      <c r="M16" s="17"/>
      <c r="N16" s="18"/>
      <c r="O16" s="18"/>
      <c r="P16" s="18"/>
      <c r="Q16" s="18"/>
      <c r="R16" s="18"/>
      <c r="S16" s="18"/>
    </row>
    <row r="17" spans="2:19" x14ac:dyDescent="0.15">
      <c r="B17" s="23" t="s">
        <v>23</v>
      </c>
      <c r="C17" s="67">
        <f>C16*(1-C10)*(1-C11/52)</f>
        <v>33.84553846153846</v>
      </c>
      <c r="D17" s="67">
        <f t="shared" ref="D17:E17" si="0">D16*(1-D10)*(1-D11/52)</f>
        <v>34.564320000000002</v>
      </c>
      <c r="E17" s="67">
        <f t="shared" si="0"/>
        <v>35.835795692307691</v>
      </c>
      <c r="F17" s="46"/>
      <c r="G17" s="46"/>
      <c r="H17" s="46"/>
      <c r="I17" s="46"/>
      <c r="J17" s="16"/>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t="s">
        <v>31</v>
      </c>
      <c r="D19" s="47" t="s">
        <v>31</v>
      </c>
      <c r="E19" s="47" t="s">
        <v>31</v>
      </c>
      <c r="F19" s="47"/>
      <c r="G19" s="47"/>
      <c r="H19" s="47"/>
      <c r="I19" s="46"/>
      <c r="J19" s="16" t="s">
        <v>77</v>
      </c>
      <c r="K19" s="50"/>
      <c r="L19" s="3"/>
      <c r="M19" s="17"/>
      <c r="N19" s="18"/>
      <c r="O19" s="18"/>
      <c r="P19" s="18"/>
      <c r="Q19" s="18"/>
      <c r="R19" s="18"/>
      <c r="S19" s="18"/>
    </row>
    <row r="20" spans="2:19" x14ac:dyDescent="0.15">
      <c r="B20" s="22" t="s">
        <v>26</v>
      </c>
      <c r="C20" s="47" t="s">
        <v>31</v>
      </c>
      <c r="D20" s="47" t="s">
        <v>31</v>
      </c>
      <c r="E20" s="47" t="s">
        <v>31</v>
      </c>
      <c r="F20" s="47"/>
      <c r="G20" s="47"/>
      <c r="H20" s="47"/>
      <c r="I20" s="46"/>
      <c r="J20" s="16" t="s">
        <v>77</v>
      </c>
      <c r="K20" s="50"/>
      <c r="M20" s="17"/>
      <c r="N20" s="18"/>
      <c r="O20" s="18"/>
      <c r="P20" s="18"/>
      <c r="Q20" s="18"/>
      <c r="R20" s="18"/>
      <c r="S20" s="18"/>
    </row>
    <row r="21" spans="2:19" x14ac:dyDescent="0.15">
      <c r="B21" s="22" t="s">
        <v>27</v>
      </c>
      <c r="C21" s="47" t="s">
        <v>31</v>
      </c>
      <c r="D21" s="47" t="s">
        <v>31</v>
      </c>
      <c r="E21" s="47" t="s">
        <v>31</v>
      </c>
      <c r="F21" s="47"/>
      <c r="G21" s="47"/>
      <c r="H21" s="47"/>
      <c r="I21" s="46"/>
      <c r="J21" s="16"/>
      <c r="K21" s="50"/>
      <c r="M21" s="17"/>
      <c r="N21" s="18"/>
      <c r="O21" s="18"/>
      <c r="P21" s="18"/>
      <c r="Q21" s="18"/>
      <c r="R21" s="18"/>
      <c r="S21" s="18"/>
    </row>
    <row r="22" spans="2:19" x14ac:dyDescent="0.15">
      <c r="B22" s="22" t="s">
        <v>28</v>
      </c>
      <c r="C22" s="47" t="s">
        <v>31</v>
      </c>
      <c r="D22" s="47" t="s">
        <v>31</v>
      </c>
      <c r="E22" s="47" t="s">
        <v>31</v>
      </c>
      <c r="F22" s="47"/>
      <c r="G22" s="47"/>
      <c r="H22" s="47"/>
      <c r="I22" s="46"/>
      <c r="J22" s="16"/>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146" t="s">
        <v>38</v>
      </c>
      <c r="C30" s="76">
        <v>4</v>
      </c>
      <c r="D30" s="77">
        <f>C30*0.85</f>
        <v>3.4</v>
      </c>
      <c r="E30" s="77">
        <f>C30*0.72</f>
        <v>2.88</v>
      </c>
      <c r="F30" s="76">
        <f>C30*0.75</f>
        <v>3</v>
      </c>
      <c r="G30" s="76">
        <f>C30*1.25</f>
        <v>5</v>
      </c>
      <c r="H30" s="76">
        <f>E30*1.25</f>
        <v>3.5999999999999996</v>
      </c>
      <c r="I30" s="51">
        <f>E30*0.75</f>
        <v>2.16</v>
      </c>
      <c r="J30" s="16" t="s">
        <v>217</v>
      </c>
      <c r="K30" s="50" t="s">
        <v>215</v>
      </c>
      <c r="M30" s="17"/>
      <c r="N30" s="35"/>
      <c r="O30" s="35"/>
      <c r="P30" s="35"/>
      <c r="Q30" s="35"/>
      <c r="R30" s="18"/>
      <c r="S30" s="18"/>
    </row>
    <row r="31" spans="2:19" x14ac:dyDescent="0.15">
      <c r="B31" s="146" t="s">
        <v>40</v>
      </c>
      <c r="C31" s="80">
        <v>0.55000000000000004</v>
      </c>
      <c r="D31" s="80">
        <v>0.55000000000000004</v>
      </c>
      <c r="E31" s="80">
        <v>0.55000000000000004</v>
      </c>
      <c r="F31" s="81"/>
      <c r="G31" s="81"/>
      <c r="H31" s="122"/>
      <c r="I31" s="122"/>
      <c r="J31" s="16" t="s">
        <v>32</v>
      </c>
      <c r="K31" s="16"/>
      <c r="M31" s="17"/>
      <c r="N31" s="35"/>
      <c r="O31" s="35"/>
      <c r="P31" s="35"/>
      <c r="Q31" s="35"/>
      <c r="R31" s="18"/>
      <c r="S31" s="18"/>
    </row>
    <row r="32" spans="2:19" x14ac:dyDescent="0.15">
      <c r="B32" s="146" t="s">
        <v>41</v>
      </c>
      <c r="C32" s="80">
        <v>0.45</v>
      </c>
      <c r="D32" s="80">
        <v>0.45</v>
      </c>
      <c r="E32" s="80">
        <v>0.45</v>
      </c>
      <c r="F32" s="81"/>
      <c r="G32" s="81"/>
      <c r="H32" s="122"/>
      <c r="I32" s="122"/>
      <c r="J32" s="16" t="s">
        <v>32</v>
      </c>
      <c r="K32" s="16"/>
      <c r="M32" s="17"/>
      <c r="N32" s="35"/>
      <c r="O32" s="35"/>
      <c r="P32" s="35"/>
      <c r="Q32" s="35"/>
      <c r="R32" s="18"/>
      <c r="S32" s="18"/>
    </row>
    <row r="33" spans="1:19" x14ac:dyDescent="0.15">
      <c r="B33" s="146" t="s">
        <v>42</v>
      </c>
      <c r="C33" s="82">
        <v>73200</v>
      </c>
      <c r="D33" s="82">
        <f>MROUND(C33*0.85,100)</f>
        <v>62200</v>
      </c>
      <c r="E33" s="82">
        <f>MROUND(C33*0.72,100)</f>
        <v>52700</v>
      </c>
      <c r="F33" s="85">
        <f>MROUND(C33*0.75,100)</f>
        <v>54900</v>
      </c>
      <c r="G33" s="85">
        <f>MROUND(C33*1.25,100)</f>
        <v>91500</v>
      </c>
      <c r="H33" s="85">
        <f>MROUND(E33*1.25,100)</f>
        <v>65900</v>
      </c>
      <c r="I33" s="31">
        <f>MROUND(E33*0.75,100)</f>
        <v>39500</v>
      </c>
      <c r="J33" s="16" t="s">
        <v>66</v>
      </c>
      <c r="K33" s="50">
        <v>4</v>
      </c>
      <c r="M33" s="17"/>
      <c r="N33" s="35"/>
      <c r="O33" s="35"/>
      <c r="P33" s="35"/>
      <c r="Q33" s="35"/>
      <c r="R33" s="18"/>
      <c r="S33" s="18"/>
    </row>
    <row r="34" spans="1:19" x14ac:dyDescent="0.15">
      <c r="B34" s="146" t="s">
        <v>45</v>
      </c>
      <c r="C34" s="85">
        <v>0</v>
      </c>
      <c r="D34" s="85">
        <v>0</v>
      </c>
      <c r="E34" s="85">
        <v>0</v>
      </c>
      <c r="F34" s="85"/>
      <c r="G34" s="85"/>
      <c r="H34" s="47"/>
      <c r="I34" s="36"/>
      <c r="J34" s="16"/>
      <c r="K34" s="50">
        <v>4</v>
      </c>
      <c r="M34" s="17"/>
      <c r="N34" s="35"/>
      <c r="O34" s="35"/>
      <c r="P34" s="35"/>
      <c r="Q34" s="35"/>
      <c r="R34" s="18"/>
      <c r="S34" s="18"/>
    </row>
    <row r="35" spans="1:19" x14ac:dyDescent="0.15">
      <c r="B35" s="22" t="s">
        <v>46</v>
      </c>
      <c r="C35" s="47">
        <v>0</v>
      </c>
      <c r="D35" s="47">
        <v>0</v>
      </c>
      <c r="E35" s="47">
        <v>0</v>
      </c>
      <c r="F35" s="47"/>
      <c r="G35" s="47"/>
      <c r="H35" s="47"/>
      <c r="I35" s="36"/>
      <c r="J35" s="16"/>
      <c r="K35" s="50"/>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218</v>
      </c>
    </row>
    <row r="39" spans="1:19" x14ac:dyDescent="0.15">
      <c r="A39" s="53">
        <v>2</v>
      </c>
      <c r="B39" s="53" t="s">
        <v>219</v>
      </c>
    </row>
    <row r="40" spans="1:19" ht="23.25" customHeight="1" x14ac:dyDescent="0.15">
      <c r="A40" s="53">
        <v>3</v>
      </c>
      <c r="B40" s="255" t="s">
        <v>206</v>
      </c>
      <c r="C40" s="255"/>
      <c r="D40" s="255"/>
      <c r="E40" s="255"/>
      <c r="F40" s="255"/>
      <c r="G40" s="255"/>
      <c r="H40" s="255"/>
      <c r="I40" s="255"/>
      <c r="J40" s="255"/>
      <c r="K40" s="255"/>
    </row>
    <row r="41" spans="1:19" x14ac:dyDescent="0.15">
      <c r="A41" s="53">
        <v>4</v>
      </c>
      <c r="B41" s="53" t="s">
        <v>207</v>
      </c>
    </row>
    <row r="42" spans="1:19" x14ac:dyDescent="0.15">
      <c r="A42" s="53">
        <v>5</v>
      </c>
      <c r="B42" s="53" t="s">
        <v>220</v>
      </c>
    </row>
    <row r="43" spans="1:19" x14ac:dyDescent="0.15">
      <c r="A43" s="53">
        <v>6</v>
      </c>
      <c r="B43" s="53" t="s">
        <v>221</v>
      </c>
    </row>
    <row r="44" spans="1:19" x14ac:dyDescent="0.15">
      <c r="A44" s="3" t="s">
        <v>59</v>
      </c>
    </row>
    <row r="45" spans="1:19" x14ac:dyDescent="0.15">
      <c r="A45" s="52" t="s">
        <v>13</v>
      </c>
      <c r="B45" s="53" t="s">
        <v>209</v>
      </c>
      <c r="C45" s="53"/>
      <c r="D45" s="53"/>
      <c r="E45" s="53"/>
      <c r="F45" s="53"/>
      <c r="G45" s="53"/>
      <c r="H45" s="53"/>
      <c r="I45" s="53"/>
      <c r="J45" s="53"/>
      <c r="K45" s="53"/>
    </row>
    <row r="46" spans="1:19" ht="26.25" customHeight="1" x14ac:dyDescent="0.15">
      <c r="A46" s="52" t="s">
        <v>61</v>
      </c>
      <c r="B46" s="255" t="s">
        <v>222</v>
      </c>
      <c r="C46" s="255"/>
      <c r="D46" s="255"/>
      <c r="E46" s="255"/>
      <c r="F46" s="255"/>
      <c r="G46" s="255"/>
      <c r="H46" s="255"/>
      <c r="I46" s="255"/>
      <c r="J46" s="255"/>
      <c r="K46" s="255"/>
    </row>
    <row r="47" spans="1:19" ht="26.25" customHeight="1" x14ac:dyDescent="0.15">
      <c r="A47" s="52" t="s">
        <v>32</v>
      </c>
      <c r="B47" s="255" t="s">
        <v>211</v>
      </c>
      <c r="C47" s="255"/>
      <c r="D47" s="255"/>
      <c r="E47" s="255"/>
      <c r="F47" s="255"/>
      <c r="G47" s="255"/>
      <c r="H47" s="255"/>
      <c r="I47" s="255"/>
      <c r="J47" s="255"/>
      <c r="K47" s="255"/>
      <c r="O47" s="138"/>
    </row>
    <row r="48" spans="1:19" ht="27.75" customHeight="1" x14ac:dyDescent="0.15">
      <c r="A48" s="52" t="s">
        <v>64</v>
      </c>
      <c r="B48" s="255" t="s">
        <v>212</v>
      </c>
      <c r="C48" s="255"/>
      <c r="D48" s="255"/>
      <c r="E48" s="255"/>
      <c r="F48" s="255"/>
      <c r="G48" s="255"/>
      <c r="H48" s="255"/>
      <c r="I48" s="255"/>
      <c r="J48" s="255"/>
      <c r="K48" s="255"/>
    </row>
    <row r="49" spans="1:15" x14ac:dyDescent="0.15">
      <c r="A49" s="52" t="s">
        <v>66</v>
      </c>
      <c r="B49" s="53" t="s">
        <v>75</v>
      </c>
      <c r="C49" s="53"/>
      <c r="D49" s="53"/>
      <c r="E49" s="53"/>
      <c r="F49" s="53"/>
      <c r="G49" s="53"/>
      <c r="H49" s="53"/>
      <c r="I49" s="53"/>
      <c r="J49" s="53"/>
      <c r="K49" s="53"/>
      <c r="O49" s="139"/>
    </row>
    <row r="50" spans="1:15" ht="39.75" customHeight="1" x14ac:dyDescent="0.15">
      <c r="A50" s="52" t="s">
        <v>77</v>
      </c>
      <c r="B50" s="255" t="s">
        <v>213</v>
      </c>
      <c r="C50" s="255"/>
      <c r="D50" s="255"/>
      <c r="E50" s="255"/>
      <c r="F50" s="255"/>
      <c r="G50" s="255"/>
      <c r="H50" s="255"/>
      <c r="I50" s="255"/>
      <c r="J50" s="255"/>
      <c r="K50" s="255"/>
    </row>
    <row r="51" spans="1:15" x14ac:dyDescent="0.15">
      <c r="A51" s="41"/>
    </row>
    <row r="52" spans="1:15" x14ac:dyDescent="0.15">
      <c r="A52" s="41"/>
    </row>
  </sheetData>
  <mergeCells count="14">
    <mergeCell ref="N6:S6"/>
    <mergeCell ref="C3:K3"/>
    <mergeCell ref="N3:S3"/>
    <mergeCell ref="F4:G4"/>
    <mergeCell ref="H4:I4"/>
    <mergeCell ref="M5:S5"/>
    <mergeCell ref="B48:K48"/>
    <mergeCell ref="B50:K50"/>
    <mergeCell ref="M23:S23"/>
    <mergeCell ref="M28:S28"/>
    <mergeCell ref="M35:S35"/>
    <mergeCell ref="B40:K40"/>
    <mergeCell ref="B46:K46"/>
    <mergeCell ref="B47:K47"/>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C7EB-F887-4702-959B-F4CE0B7657AE}">
  <sheetPr>
    <tabColor theme="4" tint="0.39997558519241921"/>
  </sheetPr>
  <dimension ref="A1:S50"/>
  <sheetViews>
    <sheetView zoomScale="85" zoomScaleNormal="85" zoomScaleSheetLayoutView="120" workbookViewId="0">
      <selection activeCell="U60" sqref="U6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0" width="6.5" style="1" customWidth="1"/>
    <col min="11" max="11" width="7"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223</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40" t="s">
        <v>10</v>
      </c>
      <c r="C6" s="141">
        <v>8</v>
      </c>
      <c r="D6" s="141">
        <v>10</v>
      </c>
      <c r="E6" s="141">
        <v>12</v>
      </c>
      <c r="F6" s="141"/>
      <c r="G6" s="141"/>
      <c r="H6" s="141"/>
      <c r="I6" s="141"/>
      <c r="J6" s="142"/>
      <c r="K6" s="50">
        <v>3</v>
      </c>
      <c r="M6" s="17"/>
      <c r="N6" s="253"/>
      <c r="O6" s="254"/>
      <c r="P6" s="254"/>
      <c r="Q6" s="254"/>
      <c r="R6" s="254"/>
      <c r="S6" s="254"/>
    </row>
    <row r="7" spans="2:19" ht="15" customHeight="1" x14ac:dyDescent="0.15">
      <c r="B7" s="140" t="s">
        <v>11</v>
      </c>
      <c r="C7" s="85">
        <f>C6*30</f>
        <v>240</v>
      </c>
      <c r="D7" s="85">
        <f>D6*30</f>
        <v>300</v>
      </c>
      <c r="E7" s="85">
        <f>E6*30</f>
        <v>360</v>
      </c>
      <c r="F7" s="85"/>
      <c r="G7" s="85"/>
      <c r="H7" s="85"/>
      <c r="I7" s="85"/>
      <c r="J7" s="142"/>
      <c r="K7" s="50"/>
      <c r="M7" s="17"/>
      <c r="N7" s="60"/>
      <c r="O7" s="61"/>
      <c r="P7" s="61"/>
      <c r="Q7" s="61"/>
      <c r="R7" s="61"/>
      <c r="S7" s="61"/>
    </row>
    <row r="8" spans="2:19" x14ac:dyDescent="0.15">
      <c r="B8" s="140" t="s">
        <v>12</v>
      </c>
      <c r="C8" s="85">
        <v>100</v>
      </c>
      <c r="D8" s="85">
        <v>100</v>
      </c>
      <c r="E8" s="85">
        <v>100</v>
      </c>
      <c r="F8" s="85"/>
      <c r="G8" s="85"/>
      <c r="H8" s="85"/>
      <c r="I8" s="85"/>
      <c r="J8" s="142" t="s">
        <v>13</v>
      </c>
      <c r="K8" s="46"/>
      <c r="M8" s="17"/>
      <c r="N8" s="18"/>
      <c r="O8" s="18"/>
      <c r="P8" s="18"/>
      <c r="Q8" s="18"/>
      <c r="R8" s="18"/>
      <c r="S8" s="18"/>
    </row>
    <row r="9" spans="2:19" x14ac:dyDescent="0.15">
      <c r="B9" s="143" t="s">
        <v>14</v>
      </c>
      <c r="C9" s="85">
        <v>100</v>
      </c>
      <c r="D9" s="85">
        <v>100</v>
      </c>
      <c r="E9" s="85">
        <v>100</v>
      </c>
      <c r="F9" s="85"/>
      <c r="G9" s="85"/>
      <c r="H9" s="85"/>
      <c r="I9" s="85"/>
      <c r="J9" s="144" t="s">
        <v>13</v>
      </c>
      <c r="K9" s="66"/>
      <c r="M9" s="17"/>
      <c r="N9" s="18"/>
      <c r="O9" s="18"/>
      <c r="P9" s="18"/>
      <c r="Q9" s="18"/>
      <c r="R9" s="18"/>
      <c r="S9" s="18"/>
    </row>
    <row r="10" spans="2:19" x14ac:dyDescent="0.15">
      <c r="B10" s="140" t="s">
        <v>15</v>
      </c>
      <c r="C10" s="145">
        <v>0.04</v>
      </c>
      <c r="D10" s="145">
        <v>0.03</v>
      </c>
      <c r="E10" s="145">
        <v>0.03</v>
      </c>
      <c r="F10" s="85"/>
      <c r="G10" s="85"/>
      <c r="H10" s="85"/>
      <c r="I10" s="85"/>
      <c r="J10" s="142"/>
      <c r="K10" s="50">
        <v>3</v>
      </c>
      <c r="M10" s="1"/>
      <c r="N10" s="21"/>
      <c r="O10" s="21"/>
      <c r="P10" s="21"/>
      <c r="Q10" s="21"/>
      <c r="R10" s="21"/>
      <c r="S10" s="18"/>
    </row>
    <row r="11" spans="2:19" x14ac:dyDescent="0.15">
      <c r="B11" s="146" t="s">
        <v>16</v>
      </c>
      <c r="C11" s="76">
        <v>0.16</v>
      </c>
      <c r="D11" s="76">
        <v>0.16</v>
      </c>
      <c r="E11" s="76">
        <v>0.16</v>
      </c>
      <c r="F11" s="85"/>
      <c r="G11" s="85"/>
      <c r="H11" s="85"/>
      <c r="I11" s="85"/>
      <c r="J11" s="142"/>
      <c r="K11" s="50">
        <v>3</v>
      </c>
      <c r="M11" s="1"/>
      <c r="N11" s="21"/>
      <c r="O11" s="21"/>
      <c r="P11" s="21"/>
      <c r="Q11" s="21"/>
      <c r="R11" s="21"/>
      <c r="S11" s="18"/>
    </row>
    <row r="12" spans="2:19" x14ac:dyDescent="0.15">
      <c r="B12" s="146" t="s">
        <v>17</v>
      </c>
      <c r="C12" s="85">
        <v>27</v>
      </c>
      <c r="D12" s="85">
        <v>30</v>
      </c>
      <c r="E12" s="85">
        <v>30</v>
      </c>
      <c r="F12" s="85">
        <v>20</v>
      </c>
      <c r="G12" s="85">
        <v>35</v>
      </c>
      <c r="H12" s="85">
        <v>20</v>
      </c>
      <c r="I12" s="85">
        <v>35</v>
      </c>
      <c r="J12" s="142"/>
      <c r="K12" s="50">
        <v>3</v>
      </c>
      <c r="M12" s="17"/>
      <c r="N12" s="18"/>
      <c r="O12" s="18"/>
      <c r="P12" s="18"/>
      <c r="Q12" s="18"/>
      <c r="R12" s="18"/>
      <c r="S12" s="18"/>
    </row>
    <row r="13" spans="2:19" x14ac:dyDescent="0.15">
      <c r="B13" s="146" t="s">
        <v>18</v>
      </c>
      <c r="C13" s="141">
        <v>3</v>
      </c>
      <c r="D13" s="141">
        <v>2.5</v>
      </c>
      <c r="E13" s="141">
        <v>2.5</v>
      </c>
      <c r="F13" s="142">
        <v>1.5</v>
      </c>
      <c r="G13" s="142">
        <v>4</v>
      </c>
      <c r="H13" s="142">
        <v>1.5</v>
      </c>
      <c r="I13" s="85">
        <v>4</v>
      </c>
      <c r="J13" s="142"/>
      <c r="K13" s="50">
        <v>3</v>
      </c>
      <c r="M13" s="17"/>
      <c r="N13" s="18"/>
      <c r="O13" s="18"/>
      <c r="P13" s="18"/>
      <c r="Q13" s="18"/>
      <c r="R13" s="18"/>
      <c r="S13" s="18"/>
    </row>
    <row r="14" spans="2:19" ht="18" x14ac:dyDescent="0.15">
      <c r="B14" s="147" t="s">
        <v>224</v>
      </c>
      <c r="C14" s="85">
        <v>185</v>
      </c>
      <c r="D14" s="85">
        <v>185</v>
      </c>
      <c r="E14" s="85">
        <v>185</v>
      </c>
      <c r="F14" s="133">
        <v>168</v>
      </c>
      <c r="G14" s="133">
        <v>204</v>
      </c>
      <c r="H14" s="133">
        <v>168</v>
      </c>
      <c r="I14" s="133">
        <v>204</v>
      </c>
      <c r="J14" s="78"/>
      <c r="K14" s="15">
        <v>3</v>
      </c>
      <c r="M14" s="17"/>
      <c r="N14" s="18"/>
      <c r="O14" s="18"/>
      <c r="P14" s="18"/>
      <c r="Q14" s="18"/>
      <c r="R14" s="18"/>
      <c r="S14" s="18"/>
    </row>
    <row r="15" spans="2:19" x14ac:dyDescent="0.15">
      <c r="B15" s="148" t="s">
        <v>21</v>
      </c>
      <c r="C15" s="149"/>
      <c r="D15" s="149"/>
      <c r="E15" s="149"/>
      <c r="F15" s="149"/>
      <c r="G15" s="149"/>
      <c r="H15" s="149"/>
      <c r="I15" s="150"/>
      <c r="J15" s="150"/>
      <c r="K15" s="45"/>
      <c r="M15" s="17"/>
      <c r="N15" s="18"/>
      <c r="O15" s="18"/>
      <c r="P15" s="18"/>
      <c r="Q15" s="18"/>
      <c r="R15" s="18"/>
      <c r="S15" s="18"/>
    </row>
    <row r="16" spans="2:19" x14ac:dyDescent="0.15">
      <c r="B16" s="147" t="s">
        <v>22</v>
      </c>
      <c r="C16" s="133">
        <v>50</v>
      </c>
      <c r="D16" s="151">
        <f>C16*1.016</f>
        <v>50.8</v>
      </c>
      <c r="E16" s="151">
        <f>C16*1.048</f>
        <v>52.400000000000006</v>
      </c>
      <c r="F16" s="133"/>
      <c r="G16" s="133"/>
      <c r="H16" s="133"/>
      <c r="I16" s="133"/>
      <c r="J16" s="78" t="s">
        <v>61</v>
      </c>
      <c r="K16" s="46">
        <v>2</v>
      </c>
      <c r="M16" s="17"/>
      <c r="N16" s="18"/>
      <c r="O16" s="18"/>
      <c r="P16" s="18"/>
      <c r="Q16" s="18"/>
      <c r="R16" s="18"/>
      <c r="S16" s="18"/>
    </row>
    <row r="17" spans="2:19" x14ac:dyDescent="0.15">
      <c r="B17" s="147" t="s">
        <v>23</v>
      </c>
      <c r="C17" s="152">
        <f>C16*(1-C10)*(1-C11/52)</f>
        <v>47.85230769230769</v>
      </c>
      <c r="D17" s="152">
        <f t="shared" ref="D17:E17" si="0">D16*(1-D10)*(1-D11/52)</f>
        <v>49.124381538461535</v>
      </c>
      <c r="E17" s="152">
        <f t="shared" si="0"/>
        <v>50.671606153846156</v>
      </c>
      <c r="F17" s="133"/>
      <c r="G17" s="133"/>
      <c r="H17" s="133"/>
      <c r="I17" s="133"/>
      <c r="J17" s="78"/>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t="s">
        <v>31</v>
      </c>
      <c r="D19" s="47" t="s">
        <v>31</v>
      </c>
      <c r="E19" s="47" t="s">
        <v>31</v>
      </c>
      <c r="F19" s="47"/>
      <c r="G19" s="47"/>
      <c r="H19" s="47"/>
      <c r="I19" s="46"/>
      <c r="J19" s="16" t="s">
        <v>77</v>
      </c>
      <c r="K19" s="50"/>
      <c r="L19" s="3"/>
      <c r="M19" s="17"/>
      <c r="N19" s="18"/>
      <c r="O19" s="18"/>
      <c r="P19" s="18"/>
      <c r="Q19" s="18"/>
      <c r="R19" s="18"/>
      <c r="S19" s="18"/>
    </row>
    <row r="20" spans="2:19" x14ac:dyDescent="0.15">
      <c r="B20" s="22" t="s">
        <v>26</v>
      </c>
      <c r="C20" s="47" t="s">
        <v>31</v>
      </c>
      <c r="D20" s="47" t="s">
        <v>31</v>
      </c>
      <c r="E20" s="47" t="s">
        <v>31</v>
      </c>
      <c r="F20" s="47"/>
      <c r="G20" s="47"/>
      <c r="H20" s="47"/>
      <c r="I20" s="46"/>
      <c r="J20" s="16" t="s">
        <v>77</v>
      </c>
      <c r="K20" s="50"/>
      <c r="M20" s="17"/>
      <c r="N20" s="18"/>
      <c r="O20" s="18"/>
      <c r="P20" s="18"/>
      <c r="Q20" s="18"/>
      <c r="R20" s="18"/>
      <c r="S20" s="18"/>
    </row>
    <row r="21" spans="2:19" x14ac:dyDescent="0.15">
      <c r="B21" s="22" t="s">
        <v>27</v>
      </c>
      <c r="C21" s="47" t="s">
        <v>31</v>
      </c>
      <c r="D21" s="47" t="s">
        <v>31</v>
      </c>
      <c r="E21" s="47" t="s">
        <v>31</v>
      </c>
      <c r="F21" s="47"/>
      <c r="G21" s="47"/>
      <c r="H21" s="47"/>
      <c r="I21" s="46"/>
      <c r="J21" s="16"/>
      <c r="K21" s="50"/>
      <c r="M21" s="17"/>
      <c r="N21" s="18"/>
      <c r="O21" s="18"/>
      <c r="P21" s="18"/>
      <c r="Q21" s="18"/>
      <c r="R21" s="18"/>
      <c r="S21" s="18"/>
    </row>
    <row r="22" spans="2:19" x14ac:dyDescent="0.15">
      <c r="B22" s="22" t="s">
        <v>28</v>
      </c>
      <c r="C22" s="47" t="s">
        <v>31</v>
      </c>
      <c r="D22" s="47" t="s">
        <v>31</v>
      </c>
      <c r="E22" s="47" t="s">
        <v>31</v>
      </c>
      <c r="F22" s="47"/>
      <c r="G22" s="47"/>
      <c r="H22" s="47"/>
      <c r="I22" s="46"/>
      <c r="J22" s="16"/>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146" t="s">
        <v>38</v>
      </c>
      <c r="C30" s="76">
        <v>3.5</v>
      </c>
      <c r="D30" s="77">
        <f>C30*0.85</f>
        <v>2.9750000000000001</v>
      </c>
      <c r="E30" s="77">
        <f>C30*0.72</f>
        <v>2.52</v>
      </c>
      <c r="F30" s="76">
        <v>2.4</v>
      </c>
      <c r="G30" s="76">
        <v>3.7</v>
      </c>
      <c r="H30" s="76">
        <v>1.55</v>
      </c>
      <c r="I30" s="153">
        <v>2.9</v>
      </c>
      <c r="J30" s="78" t="s">
        <v>202</v>
      </c>
      <c r="K30" s="79">
        <v>3</v>
      </c>
      <c r="M30" s="17"/>
      <c r="N30" s="35"/>
      <c r="O30" s="35"/>
      <c r="P30" s="35"/>
      <c r="Q30" s="35"/>
      <c r="R30" s="18"/>
      <c r="S30" s="18"/>
    </row>
    <row r="31" spans="2:19" x14ac:dyDescent="0.15">
      <c r="B31" s="146" t="s">
        <v>40</v>
      </c>
      <c r="C31" s="80">
        <v>0.45</v>
      </c>
      <c r="D31" s="80">
        <v>0.45</v>
      </c>
      <c r="E31" s="80">
        <v>0.45</v>
      </c>
      <c r="F31" s="81"/>
      <c r="G31" s="81"/>
      <c r="H31" s="81"/>
      <c r="I31" s="81"/>
      <c r="J31" s="78" t="s">
        <v>32</v>
      </c>
      <c r="K31" s="78">
        <v>3</v>
      </c>
      <c r="M31" s="17"/>
      <c r="N31" s="35"/>
      <c r="O31" s="35"/>
      <c r="P31" s="35"/>
      <c r="Q31" s="35"/>
      <c r="R31" s="18"/>
      <c r="S31" s="18"/>
    </row>
    <row r="32" spans="2:19" x14ac:dyDescent="0.15">
      <c r="B32" s="146" t="s">
        <v>41</v>
      </c>
      <c r="C32" s="80">
        <v>0.55000000000000004</v>
      </c>
      <c r="D32" s="80">
        <v>0.55000000000000004</v>
      </c>
      <c r="E32" s="80">
        <v>0.55000000000000004</v>
      </c>
      <c r="F32" s="81"/>
      <c r="G32" s="81"/>
      <c r="H32" s="81"/>
      <c r="I32" s="81"/>
      <c r="J32" s="78" t="s">
        <v>32</v>
      </c>
      <c r="K32" s="78">
        <v>3</v>
      </c>
      <c r="M32" s="17"/>
      <c r="N32" s="35"/>
      <c r="O32" s="35"/>
      <c r="P32" s="35"/>
      <c r="Q32" s="35"/>
      <c r="R32" s="18"/>
      <c r="S32" s="18"/>
    </row>
    <row r="33" spans="1:19" x14ac:dyDescent="0.15">
      <c r="B33" s="146" t="s">
        <v>42</v>
      </c>
      <c r="C33" s="82">
        <v>72600</v>
      </c>
      <c r="D33" s="82">
        <f>MROUND(C33*0.85,100)</f>
        <v>61700</v>
      </c>
      <c r="E33" s="82">
        <f>MROUND(C33*0.72,100)</f>
        <v>52300</v>
      </c>
      <c r="F33" s="82">
        <v>58200</v>
      </c>
      <c r="G33" s="82">
        <v>78200</v>
      </c>
      <c r="H33" s="83">
        <v>38000</v>
      </c>
      <c r="I33" s="83">
        <v>57200</v>
      </c>
      <c r="J33" s="78"/>
      <c r="K33" s="79">
        <v>4</v>
      </c>
      <c r="M33" s="17"/>
      <c r="N33" s="35"/>
      <c r="O33" s="35"/>
      <c r="P33" s="35"/>
      <c r="Q33" s="35"/>
      <c r="R33" s="18"/>
      <c r="S33" s="18"/>
    </row>
    <row r="34" spans="1:19" x14ac:dyDescent="0.15">
      <c r="B34" s="146" t="s">
        <v>45</v>
      </c>
      <c r="C34" s="154">
        <v>5.5</v>
      </c>
      <c r="D34" s="154">
        <v>4.8</v>
      </c>
      <c r="E34" s="154">
        <v>3.9</v>
      </c>
      <c r="F34" s="154">
        <v>3.4</v>
      </c>
      <c r="G34" s="154">
        <v>5.8</v>
      </c>
      <c r="H34" s="154">
        <v>2.7</v>
      </c>
      <c r="I34" s="81">
        <v>4.3</v>
      </c>
      <c r="J34" s="78"/>
      <c r="K34" s="79">
        <v>4</v>
      </c>
      <c r="M34" s="17"/>
      <c r="N34" s="35"/>
      <c r="O34" s="35"/>
      <c r="P34" s="35"/>
      <c r="Q34" s="35"/>
      <c r="R34" s="18"/>
      <c r="S34" s="18"/>
    </row>
    <row r="35" spans="1:19" x14ac:dyDescent="0.15">
      <c r="B35" s="146" t="s">
        <v>46</v>
      </c>
      <c r="C35" s="85">
        <v>0</v>
      </c>
      <c r="D35" s="85">
        <v>0</v>
      </c>
      <c r="E35" s="85">
        <v>0</v>
      </c>
      <c r="F35" s="85"/>
      <c r="G35" s="85"/>
      <c r="H35" s="85"/>
      <c r="I35" s="83"/>
      <c r="J35" s="78"/>
      <c r="K35" s="79"/>
      <c r="M35" s="261"/>
      <c r="N35" s="261"/>
      <c r="O35" s="261"/>
      <c r="P35" s="261"/>
      <c r="Q35" s="261"/>
      <c r="R35" s="261"/>
      <c r="S35" s="261"/>
    </row>
    <row r="36" spans="1:19" x14ac:dyDescent="0.15">
      <c r="A36" s="3"/>
      <c r="N36" s="18"/>
      <c r="O36" s="18"/>
      <c r="P36" s="18"/>
      <c r="Q36" s="18"/>
      <c r="R36" s="18"/>
      <c r="S36" s="18"/>
    </row>
    <row r="37" spans="1:19" ht="15" customHeight="1" x14ac:dyDescent="0.15">
      <c r="A37" s="3" t="s">
        <v>50</v>
      </c>
      <c r="C37" s="40"/>
      <c r="D37" s="40"/>
      <c r="E37" s="40"/>
      <c r="F37" s="40"/>
      <c r="G37" s="40"/>
      <c r="N37" s="18"/>
      <c r="O37" s="18"/>
      <c r="P37" s="18"/>
      <c r="Q37" s="18"/>
      <c r="R37" s="18"/>
      <c r="S37" s="18"/>
    </row>
    <row r="38" spans="1:19" x14ac:dyDescent="0.15">
      <c r="A38" s="53">
        <v>1</v>
      </c>
      <c r="B38" s="53" t="s">
        <v>218</v>
      </c>
      <c r="L38" s="4"/>
    </row>
    <row r="39" spans="1:19" s="1" customFormat="1" ht="12" x14ac:dyDescent="0.15">
      <c r="A39" s="53">
        <v>2</v>
      </c>
      <c r="B39" s="53" t="s">
        <v>219</v>
      </c>
    </row>
    <row r="40" spans="1:19" x14ac:dyDescent="0.15">
      <c r="A40" s="53">
        <v>3</v>
      </c>
      <c r="B40" s="255" t="s">
        <v>206</v>
      </c>
      <c r="C40" s="255"/>
      <c r="D40" s="255"/>
      <c r="E40" s="255"/>
      <c r="F40" s="255"/>
      <c r="G40" s="255"/>
      <c r="H40" s="255"/>
      <c r="I40" s="255"/>
      <c r="J40" s="255"/>
      <c r="K40" s="255"/>
    </row>
    <row r="41" spans="1:19" x14ac:dyDescent="0.15">
      <c r="A41" s="53">
        <v>4</v>
      </c>
      <c r="B41" s="53" t="s">
        <v>207</v>
      </c>
    </row>
    <row r="42" spans="1:19" ht="23.25" customHeight="1" x14ac:dyDescent="0.15">
      <c r="A42" s="3" t="s">
        <v>59</v>
      </c>
    </row>
    <row r="43" spans="1:19" x14ac:dyDescent="0.15">
      <c r="A43" s="52" t="s">
        <v>13</v>
      </c>
      <c r="B43" s="53" t="s">
        <v>209</v>
      </c>
      <c r="C43" s="53"/>
      <c r="D43" s="53"/>
      <c r="E43" s="53"/>
      <c r="F43" s="53"/>
      <c r="G43" s="53"/>
      <c r="H43" s="53"/>
      <c r="I43" s="53"/>
      <c r="J43" s="53"/>
      <c r="K43" s="53"/>
    </row>
    <row r="44" spans="1:19" x14ac:dyDescent="0.15">
      <c r="A44" s="52" t="s">
        <v>61</v>
      </c>
      <c r="B44" s="255" t="s">
        <v>225</v>
      </c>
      <c r="C44" s="255"/>
      <c r="D44" s="255"/>
      <c r="E44" s="255"/>
      <c r="F44" s="255"/>
      <c r="G44" s="255"/>
      <c r="H44" s="255"/>
      <c r="I44" s="255"/>
      <c r="J44" s="255"/>
      <c r="K44" s="255"/>
    </row>
    <row r="45" spans="1:19" x14ac:dyDescent="0.15">
      <c r="A45" s="52" t="s">
        <v>32</v>
      </c>
      <c r="B45" s="255" t="s">
        <v>211</v>
      </c>
      <c r="C45" s="255"/>
      <c r="D45" s="255"/>
      <c r="E45" s="255"/>
      <c r="F45" s="255"/>
      <c r="G45" s="255"/>
      <c r="H45" s="255"/>
      <c r="I45" s="255"/>
      <c r="J45" s="255"/>
      <c r="K45" s="255"/>
    </row>
    <row r="46" spans="1:19" ht="26.25" customHeight="1" x14ac:dyDescent="0.15">
      <c r="A46" s="52" t="s">
        <v>64</v>
      </c>
      <c r="B46" s="255" t="s">
        <v>212</v>
      </c>
      <c r="C46" s="255"/>
      <c r="D46" s="255"/>
      <c r="E46" s="255"/>
      <c r="F46" s="255"/>
      <c r="G46" s="255"/>
      <c r="H46" s="255"/>
      <c r="I46" s="255"/>
      <c r="J46" s="255"/>
      <c r="K46" s="255"/>
    </row>
    <row r="47" spans="1:19" ht="26.25" customHeight="1" x14ac:dyDescent="0.15">
      <c r="A47" s="52" t="s">
        <v>66</v>
      </c>
      <c r="B47" s="53" t="s">
        <v>75</v>
      </c>
      <c r="C47" s="53"/>
      <c r="D47" s="53"/>
      <c r="E47" s="53"/>
      <c r="F47" s="53"/>
      <c r="G47" s="53"/>
      <c r="H47" s="53"/>
      <c r="I47" s="53"/>
      <c r="J47" s="53"/>
      <c r="K47" s="53"/>
      <c r="O47" s="138"/>
    </row>
    <row r="48" spans="1:19" ht="38.25" customHeight="1" x14ac:dyDescent="0.15">
      <c r="A48" s="52" t="s">
        <v>77</v>
      </c>
      <c r="B48" s="255" t="s">
        <v>213</v>
      </c>
      <c r="C48" s="255"/>
      <c r="D48" s="255"/>
      <c r="E48" s="255"/>
      <c r="F48" s="255"/>
      <c r="G48" s="255"/>
      <c r="H48" s="255"/>
      <c r="I48" s="255"/>
      <c r="J48" s="255"/>
      <c r="K48" s="255"/>
    </row>
    <row r="49" spans="1:15" ht="54" customHeight="1" x14ac:dyDescent="0.15">
      <c r="A49" s="59" t="s">
        <v>142</v>
      </c>
      <c r="B49" s="262" t="s">
        <v>80</v>
      </c>
      <c r="C49" s="262"/>
      <c r="D49" s="262"/>
      <c r="E49" s="262"/>
      <c r="F49" s="262"/>
      <c r="G49" s="262"/>
      <c r="H49" s="262"/>
      <c r="I49" s="262"/>
      <c r="J49" s="262"/>
      <c r="K49" s="262"/>
      <c r="O49" s="139"/>
    </row>
    <row r="50" spans="1:15" ht="39.75" customHeight="1" x14ac:dyDescent="0.15">
      <c r="A50" s="41"/>
    </row>
  </sheetData>
  <mergeCells count="15">
    <mergeCell ref="N6:S6"/>
    <mergeCell ref="C3:K3"/>
    <mergeCell ref="N3:S3"/>
    <mergeCell ref="F4:G4"/>
    <mergeCell ref="H4:I4"/>
    <mergeCell ref="M5:S5"/>
    <mergeCell ref="B46:K46"/>
    <mergeCell ref="B48:K48"/>
    <mergeCell ref="B49:K49"/>
    <mergeCell ref="M23:S23"/>
    <mergeCell ref="M28:S28"/>
    <mergeCell ref="M35:S35"/>
    <mergeCell ref="B40:K40"/>
    <mergeCell ref="B44:K44"/>
    <mergeCell ref="B45:K4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86086-1E56-4495-907A-88301A2E027D}">
  <sheetPr>
    <tabColor theme="3" tint="0.39997558519241921"/>
  </sheetPr>
  <dimension ref="A1:S52"/>
  <sheetViews>
    <sheetView topLeftCell="A16" zoomScaleNormal="100" zoomScaleSheetLayoutView="120" workbookViewId="0">
      <selection activeCell="C55" sqref="C55"/>
    </sheetView>
  </sheetViews>
  <sheetFormatPr baseColWidth="10" defaultColWidth="9.1640625" defaultRowHeight="14" x14ac:dyDescent="0.15"/>
  <cols>
    <col min="1" max="1" width="3" style="1" customWidth="1"/>
    <col min="2" max="2" width="35.6640625" style="1" customWidth="1"/>
    <col min="3" max="5" width="9" style="1" customWidth="1"/>
    <col min="6" max="9" width="9.5" style="1" customWidth="1"/>
    <col min="10" max="10" width="6.5" style="1" customWidth="1"/>
    <col min="11" max="11" width="7"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155" t="s">
        <v>1</v>
      </c>
      <c r="C3" s="264" t="s">
        <v>226</v>
      </c>
      <c r="D3" s="264"/>
      <c r="E3" s="264"/>
      <c r="F3" s="264"/>
      <c r="G3" s="264"/>
      <c r="H3" s="264"/>
      <c r="I3" s="264"/>
      <c r="J3" s="264"/>
      <c r="K3" s="265"/>
      <c r="M3" s="63"/>
      <c r="N3" s="258"/>
      <c r="O3" s="259"/>
      <c r="P3" s="259"/>
      <c r="Q3" s="259"/>
      <c r="R3" s="259"/>
      <c r="S3" s="259"/>
    </row>
    <row r="4" spans="2:19" ht="16.5" customHeight="1" x14ac:dyDescent="0.15">
      <c r="B4" s="6"/>
      <c r="C4" s="157">
        <v>2020</v>
      </c>
      <c r="D4" s="157">
        <v>2030</v>
      </c>
      <c r="E4" s="157">
        <v>2050</v>
      </c>
      <c r="F4" s="266" t="s">
        <v>3</v>
      </c>
      <c r="G4" s="265"/>
      <c r="H4" s="266" t="s">
        <v>4</v>
      </c>
      <c r="I4" s="265"/>
      <c r="J4" s="157" t="s">
        <v>5</v>
      </c>
      <c r="K4" s="157" t="s">
        <v>6</v>
      </c>
      <c r="M4" s="8"/>
      <c r="N4" s="9"/>
      <c r="O4" s="9"/>
      <c r="P4" s="9"/>
      <c r="Q4" s="9"/>
      <c r="R4" s="9"/>
      <c r="S4" s="9"/>
    </row>
    <row r="5" spans="2:19" ht="15" customHeight="1" x14ac:dyDescent="0.15">
      <c r="B5" s="158" t="s">
        <v>7</v>
      </c>
      <c r="C5" s="159"/>
      <c r="D5" s="159"/>
      <c r="E5" s="159"/>
      <c r="F5" s="156" t="s">
        <v>8</v>
      </c>
      <c r="G5" s="156" t="s">
        <v>9</v>
      </c>
      <c r="H5" s="156" t="s">
        <v>8</v>
      </c>
      <c r="I5" s="156" t="s">
        <v>9</v>
      </c>
      <c r="J5" s="159"/>
      <c r="K5" s="160"/>
      <c r="M5" s="261"/>
      <c r="N5" s="261"/>
      <c r="O5" s="261"/>
      <c r="P5" s="261"/>
      <c r="Q5" s="261"/>
      <c r="R5" s="261"/>
      <c r="S5" s="261"/>
    </row>
    <row r="6" spans="2:19" ht="15" customHeight="1" x14ac:dyDescent="0.15">
      <c r="B6" s="140" t="s">
        <v>10</v>
      </c>
      <c r="C6" s="161">
        <v>1</v>
      </c>
      <c r="D6" s="161">
        <v>10</v>
      </c>
      <c r="E6" s="161">
        <v>25</v>
      </c>
      <c r="F6" s="161">
        <v>1</v>
      </c>
      <c r="G6" s="161">
        <v>25</v>
      </c>
      <c r="H6" s="161">
        <v>1</v>
      </c>
      <c r="I6" s="161">
        <v>25</v>
      </c>
      <c r="J6" s="142" t="s">
        <v>13</v>
      </c>
      <c r="K6" s="50">
        <v>3</v>
      </c>
      <c r="M6" s="53"/>
      <c r="N6" s="162"/>
      <c r="O6" s="72"/>
      <c r="P6" s="72"/>
      <c r="Q6" s="72"/>
      <c r="R6" s="72"/>
      <c r="S6" s="72"/>
    </row>
    <row r="7" spans="2:19" ht="15" customHeight="1" x14ac:dyDescent="0.15">
      <c r="B7" s="140" t="s">
        <v>11</v>
      </c>
      <c r="C7" s="161">
        <v>30</v>
      </c>
      <c r="D7" s="161">
        <v>100</v>
      </c>
      <c r="E7" s="161">
        <v>150</v>
      </c>
      <c r="F7" s="85">
        <v>10</v>
      </c>
      <c r="G7" s="85">
        <v>300</v>
      </c>
      <c r="H7" s="85">
        <v>10</v>
      </c>
      <c r="I7" s="85">
        <v>300</v>
      </c>
      <c r="J7" s="142" t="s">
        <v>61</v>
      </c>
      <c r="K7" s="50">
        <v>3</v>
      </c>
      <c r="M7" s="53"/>
      <c r="N7" s="163"/>
      <c r="O7" s="72"/>
      <c r="P7" s="72"/>
      <c r="Q7" s="72"/>
      <c r="R7" s="72"/>
      <c r="S7" s="72"/>
    </row>
    <row r="8" spans="2:19" x14ac:dyDescent="0.15">
      <c r="B8" s="140" t="s">
        <v>12</v>
      </c>
      <c r="C8" s="85">
        <v>90</v>
      </c>
      <c r="D8" s="85">
        <v>90</v>
      </c>
      <c r="E8" s="85">
        <v>90</v>
      </c>
      <c r="F8" s="85">
        <v>85</v>
      </c>
      <c r="G8" s="85">
        <v>95</v>
      </c>
      <c r="H8" s="85">
        <v>85</v>
      </c>
      <c r="I8" s="85">
        <v>95</v>
      </c>
      <c r="J8" s="142" t="s">
        <v>77</v>
      </c>
      <c r="K8" s="46">
        <v>5</v>
      </c>
      <c r="M8" s="53"/>
      <c r="N8" s="164"/>
      <c r="O8" s="164"/>
      <c r="P8" s="164"/>
      <c r="Q8" s="164"/>
      <c r="R8" s="164"/>
      <c r="S8" s="164"/>
    </row>
    <row r="9" spans="2:19" x14ac:dyDescent="0.15">
      <c r="B9" s="143" t="s">
        <v>14</v>
      </c>
      <c r="C9" s="85">
        <v>90</v>
      </c>
      <c r="D9" s="85">
        <v>90</v>
      </c>
      <c r="E9" s="85">
        <v>90</v>
      </c>
      <c r="F9" s="85">
        <v>85</v>
      </c>
      <c r="G9" s="85">
        <v>95</v>
      </c>
      <c r="H9" s="85">
        <v>85</v>
      </c>
      <c r="I9" s="85">
        <v>95</v>
      </c>
      <c r="J9" s="144" t="s">
        <v>77</v>
      </c>
      <c r="K9" s="66">
        <v>5</v>
      </c>
      <c r="M9" s="53"/>
      <c r="N9" s="164"/>
      <c r="O9" s="164"/>
      <c r="P9" s="164"/>
      <c r="Q9" s="164"/>
      <c r="R9" s="164"/>
      <c r="S9" s="164"/>
    </row>
    <row r="10" spans="2:19" x14ac:dyDescent="0.15">
      <c r="B10" s="140" t="s">
        <v>15</v>
      </c>
      <c r="C10" s="165">
        <v>0.04</v>
      </c>
      <c r="D10" s="165">
        <v>0.04</v>
      </c>
      <c r="E10" s="165">
        <v>0.04</v>
      </c>
      <c r="F10" s="166">
        <v>0.02</v>
      </c>
      <c r="G10" s="166">
        <v>0.06</v>
      </c>
      <c r="H10" s="166">
        <v>0.02</v>
      </c>
      <c r="I10" s="166">
        <v>0.06</v>
      </c>
      <c r="J10" s="142"/>
      <c r="K10" s="50"/>
      <c r="M10" s="1"/>
      <c r="N10" s="167"/>
      <c r="O10" s="167"/>
      <c r="P10" s="167"/>
      <c r="Q10" s="167"/>
      <c r="R10" s="167"/>
      <c r="S10" s="164"/>
    </row>
    <row r="11" spans="2:19" x14ac:dyDescent="0.15">
      <c r="B11" s="146" t="s">
        <v>16</v>
      </c>
      <c r="C11" s="76"/>
      <c r="D11" s="76"/>
      <c r="E11" s="76"/>
      <c r="F11" s="76"/>
      <c r="G11" s="76"/>
      <c r="H11" s="76"/>
      <c r="I11" s="76"/>
      <c r="J11" s="142"/>
      <c r="K11" s="50"/>
      <c r="M11" s="1"/>
      <c r="N11" s="167"/>
      <c r="O11" s="167"/>
      <c r="P11" s="167"/>
      <c r="Q11" s="167"/>
      <c r="R11" s="167"/>
      <c r="S11" s="164"/>
    </row>
    <row r="12" spans="2:19" x14ac:dyDescent="0.15">
      <c r="B12" s="146" t="s">
        <v>17</v>
      </c>
      <c r="C12" s="85">
        <v>40</v>
      </c>
      <c r="D12" s="85">
        <v>40</v>
      </c>
      <c r="E12" s="85">
        <v>50</v>
      </c>
      <c r="F12" s="85">
        <v>30</v>
      </c>
      <c r="G12" s="85">
        <v>120</v>
      </c>
      <c r="H12" s="85">
        <v>30</v>
      </c>
      <c r="I12" s="85">
        <v>120</v>
      </c>
      <c r="J12" s="142" t="s">
        <v>32</v>
      </c>
      <c r="K12" s="50">
        <v>2</v>
      </c>
      <c r="M12" s="53"/>
      <c r="N12" s="164"/>
      <c r="O12" s="164"/>
      <c r="P12" s="164"/>
      <c r="Q12" s="164"/>
      <c r="R12" s="164"/>
      <c r="S12" s="164"/>
    </row>
    <row r="13" spans="2:19" x14ac:dyDescent="0.15">
      <c r="B13" s="146" t="s">
        <v>18</v>
      </c>
      <c r="C13" s="85">
        <v>5</v>
      </c>
      <c r="D13" s="85">
        <v>5</v>
      </c>
      <c r="E13" s="85">
        <v>4</v>
      </c>
      <c r="F13" s="142">
        <v>4</v>
      </c>
      <c r="G13" s="142">
        <v>6</v>
      </c>
      <c r="H13" s="142">
        <v>4</v>
      </c>
      <c r="I13" s="85">
        <v>6</v>
      </c>
      <c r="J13" s="142"/>
      <c r="K13" s="50" t="s">
        <v>227</v>
      </c>
      <c r="M13" s="53"/>
      <c r="N13" s="164"/>
      <c r="O13" s="164"/>
      <c r="P13" s="164"/>
      <c r="Q13" s="164"/>
      <c r="R13" s="164"/>
      <c r="S13" s="164"/>
    </row>
    <row r="14" spans="2:19" x14ac:dyDescent="0.15">
      <c r="B14" s="147" t="s">
        <v>20</v>
      </c>
      <c r="C14" s="76">
        <v>0.2</v>
      </c>
      <c r="D14" s="76">
        <v>0.2</v>
      </c>
      <c r="E14" s="76">
        <v>0.2</v>
      </c>
      <c r="F14" s="133">
        <v>0.1</v>
      </c>
      <c r="G14" s="133">
        <v>0.3</v>
      </c>
      <c r="H14" s="133">
        <v>0.1</v>
      </c>
      <c r="I14" s="133">
        <v>0.3</v>
      </c>
      <c r="J14" s="78" t="s">
        <v>64</v>
      </c>
      <c r="K14" s="15"/>
      <c r="M14" s="53"/>
      <c r="N14" s="164"/>
      <c r="O14" s="164"/>
      <c r="P14" s="164"/>
      <c r="Q14" s="164"/>
      <c r="R14" s="164"/>
      <c r="S14" s="164"/>
    </row>
    <row r="15" spans="2:19" x14ac:dyDescent="0.15">
      <c r="B15" s="168" t="s">
        <v>21</v>
      </c>
      <c r="C15" s="169"/>
      <c r="D15" s="169"/>
      <c r="E15" s="169"/>
      <c r="F15" s="169"/>
      <c r="G15" s="169"/>
      <c r="H15" s="169"/>
      <c r="I15" s="170"/>
      <c r="J15" s="170"/>
      <c r="K15" s="171"/>
      <c r="M15" s="53"/>
      <c r="N15" s="164"/>
      <c r="O15" s="164"/>
      <c r="P15" s="164"/>
      <c r="Q15" s="164"/>
      <c r="R15" s="164"/>
      <c r="S15" s="164"/>
    </row>
    <row r="16" spans="2:19" x14ac:dyDescent="0.15">
      <c r="B16" s="23" t="s">
        <v>22</v>
      </c>
      <c r="C16" s="46">
        <v>35</v>
      </c>
      <c r="D16" s="67">
        <v>35</v>
      </c>
      <c r="E16" s="67">
        <v>40</v>
      </c>
      <c r="F16" s="46">
        <v>35</v>
      </c>
      <c r="G16" s="46">
        <v>40</v>
      </c>
      <c r="H16" s="46">
        <v>35</v>
      </c>
      <c r="I16" s="46">
        <v>40</v>
      </c>
      <c r="J16" s="16" t="s">
        <v>66</v>
      </c>
      <c r="K16" s="46"/>
      <c r="M16" s="53"/>
      <c r="N16" s="164"/>
      <c r="O16" s="164"/>
      <c r="P16" s="164"/>
      <c r="Q16" s="164"/>
      <c r="R16" s="164"/>
      <c r="S16" s="164"/>
    </row>
    <row r="17" spans="2:19" x14ac:dyDescent="0.15">
      <c r="B17" s="23" t="s">
        <v>23</v>
      </c>
      <c r="C17" s="67"/>
      <c r="D17" s="67"/>
      <c r="E17" s="67"/>
      <c r="F17" s="46"/>
      <c r="G17" s="46"/>
      <c r="H17" s="46"/>
      <c r="I17" s="46"/>
      <c r="J17" s="16"/>
      <c r="K17" s="46"/>
      <c r="M17" s="53"/>
      <c r="N17" s="164"/>
      <c r="O17" s="164"/>
      <c r="P17" s="164"/>
      <c r="Q17" s="164"/>
      <c r="R17" s="164"/>
      <c r="S17" s="164"/>
    </row>
    <row r="18" spans="2:19" x14ac:dyDescent="0.15">
      <c r="B18" s="172" t="s">
        <v>24</v>
      </c>
      <c r="C18" s="173"/>
      <c r="D18" s="173"/>
      <c r="E18" s="173"/>
      <c r="F18" s="173"/>
      <c r="G18" s="173"/>
      <c r="H18" s="173"/>
      <c r="I18" s="174"/>
      <c r="J18" s="174"/>
      <c r="K18" s="175"/>
      <c r="M18" s="53"/>
      <c r="N18" s="164"/>
      <c r="O18" s="164"/>
      <c r="P18" s="164"/>
      <c r="Q18" s="164"/>
      <c r="R18" s="164"/>
      <c r="S18" s="164"/>
    </row>
    <row r="19" spans="2:19" x14ac:dyDescent="0.15">
      <c r="B19" s="22" t="s">
        <v>25</v>
      </c>
      <c r="C19" s="47">
        <v>50</v>
      </c>
      <c r="D19" s="47">
        <v>50</v>
      </c>
      <c r="E19" s="47">
        <v>50</v>
      </c>
      <c r="F19" s="47">
        <v>30</v>
      </c>
      <c r="G19" s="47">
        <v>100</v>
      </c>
      <c r="H19" s="47">
        <v>30</v>
      </c>
      <c r="I19" s="68">
        <v>100</v>
      </c>
      <c r="J19" s="16" t="s">
        <v>142</v>
      </c>
      <c r="K19" s="50"/>
      <c r="L19" s="3"/>
      <c r="M19" s="53"/>
      <c r="N19" s="164"/>
      <c r="O19" s="164"/>
      <c r="P19" s="164"/>
      <c r="Q19" s="164"/>
      <c r="R19" s="164"/>
      <c r="S19" s="164"/>
    </row>
    <row r="20" spans="2:19" x14ac:dyDescent="0.15">
      <c r="B20" s="22" t="s">
        <v>26</v>
      </c>
      <c r="C20" s="47">
        <v>0</v>
      </c>
      <c r="D20" s="47">
        <v>0</v>
      </c>
      <c r="E20" s="47">
        <v>0</v>
      </c>
      <c r="F20" s="47">
        <v>0</v>
      </c>
      <c r="G20" s="47">
        <v>0</v>
      </c>
      <c r="H20" s="47">
        <v>0</v>
      </c>
      <c r="I20" s="46">
        <v>0</v>
      </c>
      <c r="J20" s="16" t="s">
        <v>142</v>
      </c>
      <c r="K20" s="50"/>
      <c r="M20" s="53"/>
      <c r="N20" s="164"/>
      <c r="O20" s="164"/>
      <c r="P20" s="164"/>
      <c r="Q20" s="164"/>
      <c r="R20" s="164"/>
      <c r="S20" s="164"/>
    </row>
    <row r="21" spans="2:19" x14ac:dyDescent="0.15">
      <c r="B21" s="22" t="s">
        <v>27</v>
      </c>
      <c r="C21" s="14">
        <v>0.1</v>
      </c>
      <c r="D21" s="14">
        <v>0.1</v>
      </c>
      <c r="E21" s="14">
        <v>0.1</v>
      </c>
      <c r="F21" s="14">
        <v>0</v>
      </c>
      <c r="G21" s="14">
        <v>0.3</v>
      </c>
      <c r="H21" s="14">
        <v>0</v>
      </c>
      <c r="I21" s="69">
        <v>0.3</v>
      </c>
      <c r="J21" s="16" t="s">
        <v>142</v>
      </c>
      <c r="K21" s="50"/>
      <c r="M21" s="53"/>
      <c r="N21" s="164"/>
      <c r="O21" s="164"/>
      <c r="P21" s="164"/>
      <c r="Q21" s="164"/>
      <c r="R21" s="164"/>
      <c r="S21" s="164"/>
    </row>
    <row r="22" spans="2:19" x14ac:dyDescent="0.15">
      <c r="B22" s="22" t="s">
        <v>28</v>
      </c>
      <c r="C22" s="14">
        <v>0.1</v>
      </c>
      <c r="D22" s="14">
        <v>0.1</v>
      </c>
      <c r="E22" s="14">
        <v>0.1</v>
      </c>
      <c r="F22" s="14">
        <v>0</v>
      </c>
      <c r="G22" s="14">
        <v>0.3</v>
      </c>
      <c r="H22" s="14">
        <v>0</v>
      </c>
      <c r="I22" s="69">
        <v>0.3</v>
      </c>
      <c r="J22" s="16" t="s">
        <v>142</v>
      </c>
      <c r="K22" s="50"/>
      <c r="M22" s="53"/>
      <c r="N22" s="164"/>
      <c r="O22" s="164"/>
      <c r="P22" s="164"/>
      <c r="Q22" s="164"/>
      <c r="R22" s="164"/>
      <c r="S22" s="164"/>
    </row>
    <row r="23" spans="2:19" x14ac:dyDescent="0.15">
      <c r="B23" s="172" t="s">
        <v>29</v>
      </c>
      <c r="C23" s="176"/>
      <c r="D23" s="177"/>
      <c r="E23" s="177"/>
      <c r="F23" s="177"/>
      <c r="G23" s="177"/>
      <c r="H23" s="177"/>
      <c r="I23" s="177"/>
      <c r="J23" s="177"/>
      <c r="K23" s="178"/>
      <c r="M23" s="179"/>
      <c r="N23" s="179"/>
      <c r="O23" s="179"/>
      <c r="P23" s="179"/>
      <c r="Q23" s="179"/>
      <c r="R23" s="179"/>
      <c r="S23" s="179"/>
    </row>
    <row r="24" spans="2:19" x14ac:dyDescent="0.15">
      <c r="B24" s="22" t="s">
        <v>30</v>
      </c>
      <c r="C24" s="31">
        <v>0</v>
      </c>
      <c r="D24" s="31">
        <v>0</v>
      </c>
      <c r="E24" s="31">
        <v>0</v>
      </c>
      <c r="F24" s="31"/>
      <c r="G24" s="31"/>
      <c r="H24" s="31"/>
      <c r="I24" s="31"/>
      <c r="J24" s="30"/>
      <c r="K24" s="50"/>
      <c r="M24" s="53"/>
      <c r="N24" s="164"/>
      <c r="O24" s="164"/>
      <c r="P24" s="164"/>
      <c r="Q24" s="164"/>
      <c r="R24" s="164"/>
      <c r="S24" s="164"/>
    </row>
    <row r="25" spans="2:19" x14ac:dyDescent="0.15">
      <c r="B25" s="22" t="s">
        <v>33</v>
      </c>
      <c r="C25" s="31">
        <v>0</v>
      </c>
      <c r="D25" s="31">
        <v>0</v>
      </c>
      <c r="E25" s="31">
        <v>0</v>
      </c>
      <c r="F25" s="31"/>
      <c r="G25" s="31"/>
      <c r="H25" s="31"/>
      <c r="I25" s="31"/>
      <c r="J25" s="30"/>
      <c r="K25" s="50"/>
      <c r="M25" s="53"/>
      <c r="N25" s="164"/>
      <c r="O25" s="164"/>
      <c r="P25" s="164"/>
      <c r="Q25" s="164"/>
      <c r="R25" s="164"/>
      <c r="S25" s="164"/>
    </row>
    <row r="26" spans="2:19" ht="15" customHeight="1" x14ac:dyDescent="0.15">
      <c r="B26" s="22" t="s">
        <v>34</v>
      </c>
      <c r="C26" s="31">
        <v>0</v>
      </c>
      <c r="D26" s="31">
        <v>0</v>
      </c>
      <c r="E26" s="31">
        <v>0</v>
      </c>
      <c r="F26" s="31"/>
      <c r="G26" s="31"/>
      <c r="H26" s="31"/>
      <c r="I26" s="31"/>
      <c r="J26" s="32"/>
      <c r="K26" s="50"/>
      <c r="M26" s="53"/>
      <c r="N26" s="164"/>
      <c r="O26" s="164"/>
      <c r="P26" s="164"/>
      <c r="Q26" s="164"/>
      <c r="R26" s="164"/>
      <c r="S26" s="164"/>
    </row>
    <row r="27" spans="2:19" x14ac:dyDescent="0.15">
      <c r="B27" s="22" t="s">
        <v>35</v>
      </c>
      <c r="C27" s="31">
        <v>0</v>
      </c>
      <c r="D27" s="31">
        <v>0</v>
      </c>
      <c r="E27" s="31">
        <v>0</v>
      </c>
      <c r="F27" s="31"/>
      <c r="G27" s="31"/>
      <c r="H27" s="31"/>
      <c r="I27" s="31"/>
      <c r="J27" s="16"/>
      <c r="K27" s="16"/>
      <c r="M27" s="53"/>
      <c r="N27" s="180"/>
      <c r="O27" s="180"/>
      <c r="P27" s="180"/>
      <c r="Q27" s="180"/>
      <c r="R27" s="164"/>
      <c r="S27" s="164"/>
    </row>
    <row r="28" spans="2:19" x14ac:dyDescent="0.15">
      <c r="B28" s="22" t="s">
        <v>36</v>
      </c>
      <c r="C28" s="31">
        <v>0</v>
      </c>
      <c r="D28" s="31">
        <v>0</v>
      </c>
      <c r="E28" s="31">
        <v>0</v>
      </c>
      <c r="F28" s="31"/>
      <c r="G28" s="31"/>
      <c r="H28" s="31"/>
      <c r="I28" s="31"/>
      <c r="J28" s="16"/>
      <c r="K28" s="16"/>
      <c r="L28" s="34"/>
      <c r="M28" s="179"/>
      <c r="N28" s="179"/>
      <c r="O28" s="179"/>
      <c r="P28" s="179"/>
      <c r="Q28" s="179"/>
      <c r="R28" s="179"/>
      <c r="S28" s="179"/>
    </row>
    <row r="29" spans="2:19" x14ac:dyDescent="0.15">
      <c r="B29" s="172" t="s">
        <v>37</v>
      </c>
      <c r="C29" s="177"/>
      <c r="D29" s="177"/>
      <c r="E29" s="177"/>
      <c r="F29" s="177"/>
      <c r="G29" s="177"/>
      <c r="H29" s="177"/>
      <c r="I29" s="177"/>
      <c r="J29" s="177"/>
      <c r="K29" s="178"/>
      <c r="M29" s="53"/>
      <c r="N29" s="164"/>
      <c r="O29" s="164"/>
      <c r="P29" s="164"/>
      <c r="Q29" s="164"/>
      <c r="R29" s="164"/>
      <c r="S29" s="164"/>
    </row>
    <row r="30" spans="2:19" x14ac:dyDescent="0.15">
      <c r="B30" s="146" t="s">
        <v>38</v>
      </c>
      <c r="C30" s="141">
        <v>5.5</v>
      </c>
      <c r="D30" s="181">
        <v>5.1092100000000009</v>
      </c>
      <c r="E30" s="181">
        <v>5.0999999999999996</v>
      </c>
      <c r="F30" s="141">
        <v>2.9</v>
      </c>
      <c r="G30" s="141">
        <v>7.5</v>
      </c>
      <c r="H30" s="141">
        <v>2.9</v>
      </c>
      <c r="I30" s="141">
        <v>7.5</v>
      </c>
      <c r="J30" s="15" t="s">
        <v>66</v>
      </c>
      <c r="K30" s="15" t="s">
        <v>228</v>
      </c>
      <c r="M30" s="53"/>
      <c r="N30" s="182"/>
      <c r="O30" s="182"/>
      <c r="P30" s="182"/>
      <c r="Q30" s="182"/>
      <c r="R30" s="164"/>
      <c r="S30" s="164"/>
    </row>
    <row r="31" spans="2:19" x14ac:dyDescent="0.15">
      <c r="B31" s="146" t="s">
        <v>40</v>
      </c>
      <c r="C31" s="80"/>
      <c r="D31" s="80"/>
      <c r="E31" s="80"/>
      <c r="F31" s="81"/>
      <c r="G31" s="81"/>
      <c r="H31" s="122"/>
      <c r="I31" s="122"/>
      <c r="J31" s="16"/>
      <c r="K31" s="16"/>
      <c r="M31" s="53"/>
      <c r="N31" s="182"/>
      <c r="O31" s="182"/>
      <c r="P31" s="182"/>
      <c r="Q31" s="182"/>
      <c r="R31" s="164"/>
      <c r="S31" s="164"/>
    </row>
    <row r="32" spans="2:19" x14ac:dyDescent="0.15">
      <c r="B32" s="146" t="s">
        <v>41</v>
      </c>
      <c r="C32" s="80"/>
      <c r="D32" s="80"/>
      <c r="E32" s="80"/>
      <c r="F32" s="81"/>
      <c r="G32" s="81"/>
      <c r="H32" s="122"/>
      <c r="I32" s="122"/>
      <c r="J32" s="16"/>
      <c r="K32" s="16"/>
      <c r="M32" s="53"/>
      <c r="N32" s="182"/>
      <c r="O32" s="182"/>
      <c r="P32" s="182"/>
      <c r="Q32" s="182"/>
      <c r="R32" s="164"/>
      <c r="S32" s="164"/>
    </row>
    <row r="33" spans="1:19" x14ac:dyDescent="0.15">
      <c r="B33" s="146" t="s">
        <v>42</v>
      </c>
      <c r="C33" s="82">
        <v>70800</v>
      </c>
      <c r="D33" s="82">
        <v>62500</v>
      </c>
      <c r="E33" s="82">
        <v>35700.000000000007</v>
      </c>
      <c r="F33" s="82">
        <v>23400</v>
      </c>
      <c r="G33" s="82">
        <v>72000</v>
      </c>
      <c r="H33" s="82">
        <v>23400</v>
      </c>
      <c r="I33" s="82">
        <v>72000</v>
      </c>
      <c r="J33" s="16" t="s">
        <v>66</v>
      </c>
      <c r="K33" s="15" t="s">
        <v>39</v>
      </c>
      <c r="M33" s="53"/>
      <c r="N33" s="182"/>
      <c r="O33" s="182"/>
      <c r="P33" s="182"/>
      <c r="Q33" s="182"/>
      <c r="R33" s="164"/>
      <c r="S33" s="164"/>
    </row>
    <row r="34" spans="1:19" x14ac:dyDescent="0.15">
      <c r="B34" s="146" t="s">
        <v>45</v>
      </c>
      <c r="C34" s="85">
        <v>0</v>
      </c>
      <c r="D34" s="85">
        <v>0</v>
      </c>
      <c r="E34" s="85">
        <v>0</v>
      </c>
      <c r="F34" s="85"/>
      <c r="G34" s="85"/>
      <c r="H34" s="47"/>
      <c r="I34" s="36"/>
      <c r="J34" s="16"/>
      <c r="K34" s="50"/>
      <c r="M34" s="53"/>
      <c r="N34" s="182"/>
      <c r="O34" s="182"/>
      <c r="P34" s="182"/>
      <c r="Q34" s="182"/>
      <c r="R34" s="164"/>
      <c r="S34" s="164"/>
    </row>
    <row r="35" spans="1:19" x14ac:dyDescent="0.15">
      <c r="B35" s="22" t="s">
        <v>46</v>
      </c>
      <c r="C35" s="47"/>
      <c r="D35" s="47"/>
      <c r="E35" s="47"/>
      <c r="F35" s="47"/>
      <c r="G35" s="47"/>
      <c r="H35" s="47"/>
      <c r="I35" s="36"/>
      <c r="J35" s="16"/>
      <c r="K35" s="50"/>
      <c r="M35" s="179"/>
      <c r="N35" s="179"/>
      <c r="O35" s="179"/>
      <c r="P35" s="179"/>
      <c r="Q35" s="179"/>
      <c r="R35" s="179"/>
      <c r="S35" s="179"/>
    </row>
    <row r="36" spans="1:19" x14ac:dyDescent="0.15">
      <c r="B36" s="86" t="s">
        <v>47</v>
      </c>
      <c r="C36" s="123"/>
      <c r="D36" s="123"/>
      <c r="E36" s="123"/>
      <c r="F36" s="123"/>
      <c r="G36" s="123"/>
      <c r="H36" s="123"/>
      <c r="I36" s="123"/>
      <c r="J36" s="123"/>
      <c r="K36" s="124"/>
      <c r="N36" s="164"/>
      <c r="O36" s="164"/>
      <c r="P36" s="164"/>
      <c r="Q36" s="164"/>
      <c r="R36" s="164"/>
      <c r="S36" s="164"/>
    </row>
    <row r="37" spans="1:19" ht="15" customHeight="1" x14ac:dyDescent="0.15">
      <c r="B37" s="13"/>
      <c r="C37" s="36"/>
      <c r="D37" s="36"/>
      <c r="E37" s="36"/>
      <c r="F37" s="36"/>
      <c r="G37" s="36"/>
      <c r="H37" s="36"/>
      <c r="I37" s="36"/>
      <c r="J37" s="54"/>
      <c r="K37" s="36"/>
      <c r="N37" s="164"/>
      <c r="O37" s="164"/>
      <c r="P37" s="164"/>
      <c r="Q37" s="164"/>
      <c r="R37" s="164"/>
      <c r="S37" s="164"/>
    </row>
    <row r="38" spans="1:19" x14ac:dyDescent="0.15">
      <c r="A38" s="3"/>
      <c r="L38" s="4"/>
    </row>
    <row r="39" spans="1:19" s="1" customFormat="1" ht="12" x14ac:dyDescent="0.15">
      <c r="A39" s="3" t="s">
        <v>50</v>
      </c>
      <c r="C39" s="40"/>
      <c r="D39" s="40"/>
      <c r="E39" s="40"/>
      <c r="F39" s="40"/>
      <c r="G39" s="40"/>
    </row>
    <row r="40" spans="1:19" x14ac:dyDescent="0.15">
      <c r="A40" s="53">
        <v>1</v>
      </c>
      <c r="B40" s="53" t="s">
        <v>229</v>
      </c>
    </row>
    <row r="41" spans="1:19" x14ac:dyDescent="0.15">
      <c r="A41" s="53">
        <v>2</v>
      </c>
      <c r="B41" s="53" t="s">
        <v>230</v>
      </c>
    </row>
    <row r="42" spans="1:19" x14ac:dyDescent="0.15">
      <c r="A42" s="53">
        <v>3</v>
      </c>
      <c r="B42" s="1" t="s">
        <v>231</v>
      </c>
    </row>
    <row r="43" spans="1:19" x14ac:dyDescent="0.15">
      <c r="A43" s="53">
        <v>4</v>
      </c>
      <c r="B43" s="53" t="s">
        <v>232</v>
      </c>
    </row>
    <row r="44" spans="1:19" x14ac:dyDescent="0.15">
      <c r="A44" s="53">
        <v>5</v>
      </c>
      <c r="B44" s="53" t="s">
        <v>233</v>
      </c>
    </row>
    <row r="45" spans="1:19" ht="14" customHeight="1" x14ac:dyDescent="0.15">
      <c r="A45" s="3" t="s">
        <v>59</v>
      </c>
    </row>
    <row r="46" spans="1:19" ht="14" customHeight="1" x14ac:dyDescent="0.15">
      <c r="A46" s="52" t="s">
        <v>13</v>
      </c>
      <c r="B46" s="255" t="s">
        <v>234</v>
      </c>
      <c r="C46" s="255"/>
      <c r="D46" s="255"/>
      <c r="E46" s="255"/>
      <c r="F46" s="255"/>
      <c r="G46" s="255"/>
      <c r="H46" s="255"/>
      <c r="I46" s="255"/>
      <c r="J46" s="255"/>
      <c r="K46" s="255"/>
    </row>
    <row r="47" spans="1:19" ht="14" customHeight="1" x14ac:dyDescent="0.15">
      <c r="A47" s="52" t="s">
        <v>61</v>
      </c>
      <c r="B47" s="255" t="s">
        <v>235</v>
      </c>
      <c r="C47" s="255"/>
      <c r="D47" s="255"/>
      <c r="E47" s="255"/>
      <c r="F47" s="255"/>
      <c r="G47" s="255"/>
      <c r="H47" s="255"/>
      <c r="I47" s="255"/>
      <c r="J47" s="255"/>
      <c r="K47" s="255"/>
      <c r="O47" s="138"/>
    </row>
    <row r="48" spans="1:19" x14ac:dyDescent="0.15">
      <c r="A48" s="52" t="s">
        <v>32</v>
      </c>
      <c r="B48" s="255" t="s">
        <v>236</v>
      </c>
      <c r="C48" s="255"/>
      <c r="D48" s="255"/>
      <c r="E48" s="255"/>
      <c r="F48" s="255"/>
      <c r="G48" s="255"/>
      <c r="H48" s="255"/>
      <c r="I48" s="255"/>
      <c r="J48" s="255"/>
      <c r="K48" s="255"/>
    </row>
    <row r="49" spans="1:15" ht="14" customHeight="1" x14ac:dyDescent="0.15">
      <c r="A49" s="52" t="s">
        <v>64</v>
      </c>
      <c r="B49" s="255" t="s">
        <v>237</v>
      </c>
      <c r="C49" s="255"/>
      <c r="D49" s="255"/>
      <c r="E49" s="255"/>
      <c r="F49" s="255"/>
      <c r="G49" s="255"/>
      <c r="H49" s="255"/>
      <c r="I49" s="255"/>
      <c r="J49" s="255"/>
      <c r="K49" s="255"/>
      <c r="O49" s="139"/>
    </row>
    <row r="50" spans="1:15" x14ac:dyDescent="0.15">
      <c r="A50" s="52" t="s">
        <v>66</v>
      </c>
      <c r="B50" s="255" t="s">
        <v>238</v>
      </c>
      <c r="C50" s="255"/>
      <c r="D50" s="255"/>
      <c r="E50" s="255"/>
      <c r="F50" s="255"/>
      <c r="G50" s="255"/>
      <c r="H50" s="255"/>
      <c r="I50" s="255"/>
      <c r="J50" s="255"/>
      <c r="K50" s="255"/>
    </row>
    <row r="51" spans="1:15" x14ac:dyDescent="0.15">
      <c r="A51" s="41" t="s">
        <v>77</v>
      </c>
      <c r="B51" s="1" t="s">
        <v>239</v>
      </c>
    </row>
    <row r="52" spans="1:15" x14ac:dyDescent="0.15">
      <c r="A52" s="41" t="s">
        <v>142</v>
      </c>
      <c r="B52" s="1" t="s">
        <v>240</v>
      </c>
    </row>
  </sheetData>
  <mergeCells count="10">
    <mergeCell ref="N3:S3"/>
    <mergeCell ref="F4:G4"/>
    <mergeCell ref="H4:I4"/>
    <mergeCell ref="M5:S5"/>
    <mergeCell ref="B46:K46"/>
    <mergeCell ref="B47:K47"/>
    <mergeCell ref="B48:K48"/>
    <mergeCell ref="B49:K49"/>
    <mergeCell ref="B50:K50"/>
    <mergeCell ref="C3:K3"/>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9D6D-8277-4251-A9F5-EA0F8A7DB1E0}">
  <sheetPr>
    <tabColor theme="3" tint="0.39997558519241921"/>
  </sheetPr>
  <dimension ref="A1:S52"/>
  <sheetViews>
    <sheetView zoomScaleNormal="100" zoomScaleSheetLayoutView="120" workbookViewId="0">
      <selection activeCell="P51" sqref="P51"/>
    </sheetView>
  </sheetViews>
  <sheetFormatPr baseColWidth="10" defaultColWidth="9.1640625" defaultRowHeight="14" x14ac:dyDescent="0.15"/>
  <cols>
    <col min="1" max="1" width="3" style="1" customWidth="1"/>
    <col min="2" max="2" width="35.6640625" style="1" customWidth="1"/>
    <col min="3" max="5" width="9" style="1" customWidth="1"/>
    <col min="6" max="9" width="9.5" style="1" customWidth="1"/>
    <col min="10" max="10" width="6.5" style="1" customWidth="1"/>
    <col min="11" max="11" width="7"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155" t="s">
        <v>1</v>
      </c>
      <c r="C3" s="264" t="s">
        <v>241</v>
      </c>
      <c r="D3" s="264"/>
      <c r="E3" s="264"/>
      <c r="F3" s="264"/>
      <c r="G3" s="264"/>
      <c r="H3" s="264"/>
      <c r="I3" s="264"/>
      <c r="J3" s="264"/>
      <c r="K3" s="265"/>
      <c r="M3" s="63"/>
      <c r="N3" s="258"/>
      <c r="O3" s="259"/>
      <c r="P3" s="259"/>
      <c r="Q3" s="259"/>
      <c r="R3" s="259"/>
      <c r="S3" s="259"/>
    </row>
    <row r="4" spans="2:19" ht="16.5" customHeight="1" x14ac:dyDescent="0.15">
      <c r="B4" s="6"/>
      <c r="C4" s="157">
        <v>2020</v>
      </c>
      <c r="D4" s="157">
        <v>2030</v>
      </c>
      <c r="E4" s="157">
        <v>2050</v>
      </c>
      <c r="F4" s="266" t="s">
        <v>3</v>
      </c>
      <c r="G4" s="265"/>
      <c r="H4" s="266" t="s">
        <v>4</v>
      </c>
      <c r="I4" s="265"/>
      <c r="J4" s="157" t="s">
        <v>5</v>
      </c>
      <c r="K4" s="157" t="s">
        <v>6</v>
      </c>
      <c r="M4" s="8"/>
      <c r="N4" s="9"/>
      <c r="O4" s="9"/>
      <c r="P4" s="9"/>
      <c r="Q4" s="9"/>
      <c r="R4" s="9"/>
      <c r="S4" s="9"/>
    </row>
    <row r="5" spans="2:19" ht="15" customHeight="1" x14ac:dyDescent="0.15">
      <c r="B5" s="158" t="s">
        <v>7</v>
      </c>
      <c r="C5" s="159"/>
      <c r="D5" s="159"/>
      <c r="E5" s="159"/>
      <c r="F5" s="156" t="s">
        <v>8</v>
      </c>
      <c r="G5" s="156" t="s">
        <v>9</v>
      </c>
      <c r="H5" s="156" t="s">
        <v>8</v>
      </c>
      <c r="I5" s="156" t="s">
        <v>9</v>
      </c>
      <c r="J5" s="159"/>
      <c r="K5" s="160"/>
      <c r="M5" s="261"/>
      <c r="N5" s="261"/>
      <c r="O5" s="261"/>
      <c r="P5" s="261"/>
      <c r="Q5" s="261"/>
      <c r="R5" s="261"/>
      <c r="S5" s="261"/>
    </row>
    <row r="6" spans="2:19" ht="15" customHeight="1" x14ac:dyDescent="0.15">
      <c r="B6" s="140" t="s">
        <v>10</v>
      </c>
      <c r="C6" s="161">
        <v>1</v>
      </c>
      <c r="D6" s="161">
        <v>2</v>
      </c>
      <c r="E6" s="161">
        <v>2</v>
      </c>
      <c r="F6" s="141">
        <v>0.1</v>
      </c>
      <c r="G6" s="85">
        <v>6</v>
      </c>
      <c r="H6" s="85">
        <v>1</v>
      </c>
      <c r="I6" s="85">
        <v>6</v>
      </c>
      <c r="J6" s="142" t="s">
        <v>13</v>
      </c>
      <c r="K6" s="50" t="s">
        <v>227</v>
      </c>
      <c r="M6" s="17"/>
      <c r="N6" s="253"/>
      <c r="O6" s="254"/>
      <c r="P6" s="254"/>
      <c r="Q6" s="254"/>
      <c r="R6" s="254"/>
      <c r="S6" s="254"/>
    </row>
    <row r="7" spans="2:19" ht="15" customHeight="1" x14ac:dyDescent="0.15">
      <c r="B7" s="140" t="s">
        <v>11</v>
      </c>
      <c r="C7" s="183">
        <v>10</v>
      </c>
      <c r="D7" s="183">
        <v>150</v>
      </c>
      <c r="E7" s="183">
        <v>150</v>
      </c>
      <c r="F7" s="85">
        <v>1</v>
      </c>
      <c r="G7" s="85">
        <v>400</v>
      </c>
      <c r="H7" s="85">
        <v>1</v>
      </c>
      <c r="I7" s="85">
        <v>400</v>
      </c>
      <c r="J7" s="142" t="s">
        <v>13</v>
      </c>
      <c r="K7" s="50" t="s">
        <v>227</v>
      </c>
      <c r="M7" s="17"/>
      <c r="N7" s="60"/>
      <c r="O7" s="61"/>
      <c r="P7" s="61"/>
      <c r="Q7" s="61"/>
      <c r="R7" s="61"/>
      <c r="S7" s="61"/>
    </row>
    <row r="8" spans="2:19" x14ac:dyDescent="0.15">
      <c r="B8" s="140" t="s">
        <v>12</v>
      </c>
      <c r="C8" s="85">
        <v>90</v>
      </c>
      <c r="D8" s="85">
        <v>92</v>
      </c>
      <c r="E8" s="85">
        <v>95</v>
      </c>
      <c r="F8" s="85">
        <v>87</v>
      </c>
      <c r="G8" s="85">
        <v>97</v>
      </c>
      <c r="H8" s="85">
        <v>87</v>
      </c>
      <c r="I8" s="85">
        <v>97</v>
      </c>
      <c r="J8" s="142" t="s">
        <v>61</v>
      </c>
      <c r="K8" s="46" t="s">
        <v>242</v>
      </c>
      <c r="M8" s="17"/>
      <c r="N8" s="18"/>
      <c r="O8" s="18"/>
      <c r="P8" s="18"/>
      <c r="Q8" s="18"/>
      <c r="R8" s="18"/>
      <c r="S8" s="18"/>
    </row>
    <row r="9" spans="2:19" x14ac:dyDescent="0.15">
      <c r="B9" s="143" t="s">
        <v>14</v>
      </c>
      <c r="C9" s="85">
        <v>90</v>
      </c>
      <c r="D9" s="85">
        <v>92</v>
      </c>
      <c r="E9" s="85">
        <v>95</v>
      </c>
      <c r="F9" s="85">
        <v>87</v>
      </c>
      <c r="G9" s="85">
        <v>97</v>
      </c>
      <c r="H9" s="85">
        <v>87</v>
      </c>
      <c r="I9" s="85">
        <v>97</v>
      </c>
      <c r="J9" s="144" t="s">
        <v>61</v>
      </c>
      <c r="K9" s="66" t="s">
        <v>242</v>
      </c>
      <c r="M9" s="17"/>
      <c r="N9" s="18"/>
      <c r="O9" s="18"/>
      <c r="P9" s="18"/>
      <c r="Q9" s="18"/>
      <c r="R9" s="18"/>
      <c r="S9" s="18"/>
    </row>
    <row r="10" spans="2:19" x14ac:dyDescent="0.15">
      <c r="B10" s="140" t="s">
        <v>15</v>
      </c>
      <c r="C10" s="165">
        <v>0.04</v>
      </c>
      <c r="D10" s="165">
        <v>0.04</v>
      </c>
      <c r="E10" s="165">
        <v>0.04</v>
      </c>
      <c r="F10" s="166">
        <v>0.02</v>
      </c>
      <c r="G10" s="166">
        <v>0.06</v>
      </c>
      <c r="H10" s="166">
        <v>0.02</v>
      </c>
      <c r="I10" s="166">
        <v>0.06</v>
      </c>
      <c r="J10" s="142"/>
      <c r="K10" s="50">
        <v>2</v>
      </c>
      <c r="M10" s="1"/>
      <c r="N10" s="21"/>
      <c r="O10" s="21"/>
      <c r="P10" s="21"/>
      <c r="Q10" s="21"/>
      <c r="R10" s="21"/>
      <c r="S10" s="18"/>
    </row>
    <row r="11" spans="2:19" x14ac:dyDescent="0.15">
      <c r="B11" s="146" t="s">
        <v>16</v>
      </c>
      <c r="C11" s="76"/>
      <c r="D11" s="76"/>
      <c r="E11" s="76"/>
      <c r="F11" s="76"/>
      <c r="G11" s="76"/>
      <c r="H11" s="76"/>
      <c r="I11" s="76"/>
      <c r="J11" s="142"/>
      <c r="K11" s="50"/>
      <c r="M11" s="1"/>
      <c r="N11" s="21"/>
      <c r="O11" s="21"/>
      <c r="P11" s="21"/>
      <c r="Q11" s="21"/>
      <c r="R11" s="21"/>
      <c r="S11" s="18"/>
    </row>
    <row r="12" spans="2:19" x14ac:dyDescent="0.15">
      <c r="B12" s="146" t="s">
        <v>17</v>
      </c>
      <c r="C12" s="85">
        <v>25</v>
      </c>
      <c r="D12" s="85">
        <v>25</v>
      </c>
      <c r="E12" s="85">
        <v>30</v>
      </c>
      <c r="F12" s="85">
        <v>20</v>
      </c>
      <c r="G12" s="85">
        <v>30</v>
      </c>
      <c r="H12" s="85">
        <v>20</v>
      </c>
      <c r="I12" s="85">
        <v>30</v>
      </c>
      <c r="J12" s="142" t="s">
        <v>61</v>
      </c>
      <c r="K12" s="50"/>
      <c r="M12" s="17"/>
      <c r="N12" s="18"/>
      <c r="O12" s="18"/>
      <c r="P12" s="18"/>
      <c r="Q12" s="18"/>
      <c r="R12" s="18"/>
      <c r="S12" s="18"/>
    </row>
    <row r="13" spans="2:19" x14ac:dyDescent="0.15">
      <c r="B13" s="146" t="s">
        <v>18</v>
      </c>
      <c r="C13" s="85">
        <v>3</v>
      </c>
      <c r="D13" s="85">
        <v>2</v>
      </c>
      <c r="E13" s="85">
        <v>2</v>
      </c>
      <c r="F13" s="142"/>
      <c r="G13" s="142"/>
      <c r="H13" s="142"/>
      <c r="I13" s="85"/>
      <c r="J13" s="142" t="s">
        <v>32</v>
      </c>
      <c r="K13" s="50"/>
      <c r="M13" s="17"/>
      <c r="N13" s="18"/>
      <c r="O13" s="18"/>
      <c r="P13" s="18"/>
      <c r="Q13" s="18"/>
      <c r="R13" s="18"/>
      <c r="S13" s="18"/>
    </row>
    <row r="14" spans="2:19" x14ac:dyDescent="0.15">
      <c r="B14" s="147" t="s">
        <v>20</v>
      </c>
      <c r="C14" s="76"/>
      <c r="D14" s="76"/>
      <c r="E14" s="76"/>
      <c r="F14" s="133"/>
      <c r="G14" s="133"/>
      <c r="H14" s="133"/>
      <c r="I14" s="133"/>
      <c r="J14" s="78"/>
      <c r="K14" s="15"/>
      <c r="M14" s="17"/>
      <c r="N14" s="18"/>
      <c r="O14" s="18"/>
      <c r="P14" s="18"/>
      <c r="Q14" s="18"/>
      <c r="R14" s="18"/>
      <c r="S14" s="18"/>
    </row>
    <row r="15" spans="2:19" x14ac:dyDescent="0.15">
      <c r="B15" s="168" t="s">
        <v>21</v>
      </c>
      <c r="C15" s="169"/>
      <c r="D15" s="169"/>
      <c r="E15" s="169"/>
      <c r="F15" s="169"/>
      <c r="G15" s="169"/>
      <c r="H15" s="169"/>
      <c r="I15" s="170"/>
      <c r="J15" s="170"/>
      <c r="K15" s="171"/>
      <c r="M15" s="17"/>
      <c r="N15" s="18"/>
      <c r="O15" s="18"/>
      <c r="P15" s="18"/>
      <c r="Q15" s="18"/>
      <c r="R15" s="18"/>
      <c r="S15" s="18"/>
    </row>
    <row r="16" spans="2:19" x14ac:dyDescent="0.15">
      <c r="B16" s="23" t="s">
        <v>22</v>
      </c>
      <c r="C16" s="85">
        <v>33</v>
      </c>
      <c r="D16" s="85">
        <v>35</v>
      </c>
      <c r="E16" s="85">
        <v>37</v>
      </c>
      <c r="F16" s="85">
        <v>33</v>
      </c>
      <c r="G16" s="85">
        <v>40</v>
      </c>
      <c r="H16" s="85">
        <v>35</v>
      </c>
      <c r="I16" s="85">
        <v>40</v>
      </c>
      <c r="J16" s="15" t="s">
        <v>61</v>
      </c>
      <c r="K16" s="46" t="s">
        <v>228</v>
      </c>
      <c r="M16" s="17"/>
      <c r="N16" s="18"/>
      <c r="O16" s="18"/>
      <c r="P16" s="18"/>
      <c r="Q16" s="18"/>
      <c r="R16" s="18"/>
      <c r="S16" s="18"/>
    </row>
    <row r="17" spans="2:19" x14ac:dyDescent="0.15">
      <c r="B17" s="23" t="s">
        <v>23</v>
      </c>
      <c r="C17" s="85">
        <v>33</v>
      </c>
      <c r="D17" s="85">
        <v>35</v>
      </c>
      <c r="E17" s="85">
        <v>37</v>
      </c>
      <c r="F17" s="85">
        <v>33</v>
      </c>
      <c r="G17" s="85">
        <v>40</v>
      </c>
      <c r="H17" s="85">
        <v>35</v>
      </c>
      <c r="I17" s="85">
        <v>40</v>
      </c>
      <c r="J17" s="15" t="s">
        <v>61</v>
      </c>
      <c r="K17" s="46" t="s">
        <v>228</v>
      </c>
      <c r="M17" s="17"/>
      <c r="N17" s="18"/>
      <c r="O17" s="18"/>
      <c r="P17" s="18"/>
      <c r="Q17" s="18"/>
      <c r="R17" s="18"/>
      <c r="S17" s="18"/>
    </row>
    <row r="18" spans="2:19" x14ac:dyDescent="0.15">
      <c r="B18" s="172" t="s">
        <v>24</v>
      </c>
      <c r="C18" s="173"/>
      <c r="D18" s="173"/>
      <c r="E18" s="173"/>
      <c r="F18" s="173"/>
      <c r="G18" s="173"/>
      <c r="H18" s="173"/>
      <c r="I18" s="174"/>
      <c r="J18" s="174"/>
      <c r="K18" s="175"/>
      <c r="M18" s="17"/>
      <c r="N18" s="18"/>
      <c r="O18" s="18"/>
      <c r="P18" s="18"/>
      <c r="Q18" s="18"/>
      <c r="R18" s="18"/>
      <c r="S18" s="18"/>
    </row>
    <row r="19" spans="2:19" x14ac:dyDescent="0.15">
      <c r="B19" s="22" t="s">
        <v>25</v>
      </c>
      <c r="C19" s="47" t="s">
        <v>31</v>
      </c>
      <c r="D19" s="47" t="s">
        <v>31</v>
      </c>
      <c r="E19" s="47" t="s">
        <v>31</v>
      </c>
      <c r="F19" s="47"/>
      <c r="G19" s="47"/>
      <c r="H19" s="47"/>
      <c r="I19" s="46"/>
      <c r="J19" s="16"/>
      <c r="K19" s="50"/>
      <c r="L19" s="3"/>
      <c r="M19" s="17"/>
      <c r="N19" s="18"/>
      <c r="O19" s="18"/>
      <c r="P19" s="18"/>
      <c r="Q19" s="18"/>
      <c r="R19" s="18"/>
      <c r="S19" s="18"/>
    </row>
    <row r="20" spans="2:19" x14ac:dyDescent="0.15">
      <c r="B20" s="22" t="s">
        <v>26</v>
      </c>
      <c r="C20" s="47" t="s">
        <v>31</v>
      </c>
      <c r="D20" s="47" t="s">
        <v>31</v>
      </c>
      <c r="E20" s="47" t="s">
        <v>31</v>
      </c>
      <c r="F20" s="47"/>
      <c r="G20" s="47"/>
      <c r="H20" s="47"/>
      <c r="I20" s="46"/>
      <c r="J20" s="16"/>
      <c r="K20" s="50"/>
      <c r="M20" s="17"/>
      <c r="N20" s="18"/>
      <c r="O20" s="18"/>
      <c r="P20" s="18"/>
      <c r="Q20" s="18"/>
      <c r="R20" s="18"/>
      <c r="S20" s="18"/>
    </row>
    <row r="21" spans="2:19" x14ac:dyDescent="0.15">
      <c r="B21" s="22" t="s">
        <v>27</v>
      </c>
      <c r="C21" s="47" t="s">
        <v>31</v>
      </c>
      <c r="D21" s="47" t="s">
        <v>31</v>
      </c>
      <c r="E21" s="47" t="s">
        <v>31</v>
      </c>
      <c r="F21" s="47"/>
      <c r="G21" s="47"/>
      <c r="H21" s="47"/>
      <c r="I21" s="46"/>
      <c r="J21" s="16"/>
      <c r="K21" s="50"/>
      <c r="M21" s="17"/>
      <c r="N21" s="18"/>
      <c r="O21" s="18"/>
      <c r="P21" s="18"/>
      <c r="Q21" s="18"/>
      <c r="R21" s="18"/>
      <c r="S21" s="18"/>
    </row>
    <row r="22" spans="2:19" x14ac:dyDescent="0.15">
      <c r="B22" s="22" t="s">
        <v>28</v>
      </c>
      <c r="C22" s="47" t="s">
        <v>31</v>
      </c>
      <c r="D22" s="47" t="s">
        <v>31</v>
      </c>
      <c r="E22" s="47" t="s">
        <v>31</v>
      </c>
      <c r="F22" s="47"/>
      <c r="G22" s="47"/>
      <c r="H22" s="47"/>
      <c r="I22" s="46"/>
      <c r="J22" s="16"/>
      <c r="K22" s="50"/>
      <c r="M22" s="17"/>
      <c r="N22" s="18"/>
      <c r="O22" s="18"/>
      <c r="P22" s="18"/>
      <c r="Q22" s="18"/>
      <c r="R22" s="18"/>
      <c r="S22" s="18"/>
    </row>
    <row r="23" spans="2:19" x14ac:dyDescent="0.15">
      <c r="B23" s="172" t="s">
        <v>29</v>
      </c>
      <c r="C23" s="176"/>
      <c r="D23" s="177"/>
      <c r="E23" s="177"/>
      <c r="F23" s="177"/>
      <c r="G23" s="177"/>
      <c r="H23" s="177"/>
      <c r="I23" s="177"/>
      <c r="J23" s="177"/>
      <c r="K23" s="178"/>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172" t="s">
        <v>37</v>
      </c>
      <c r="C29" s="177"/>
      <c r="D29" s="177"/>
      <c r="E29" s="177"/>
      <c r="F29" s="177"/>
      <c r="G29" s="177"/>
      <c r="H29" s="177"/>
      <c r="I29" s="177"/>
      <c r="J29" s="177"/>
      <c r="K29" s="178"/>
      <c r="M29" s="17"/>
      <c r="N29" s="18"/>
      <c r="O29" s="18"/>
      <c r="P29" s="18"/>
      <c r="Q29" s="18"/>
      <c r="R29" s="18"/>
      <c r="S29" s="18"/>
    </row>
    <row r="30" spans="2:19" x14ac:dyDescent="0.15">
      <c r="B30" s="146" t="s">
        <v>38</v>
      </c>
      <c r="C30" s="141">
        <v>5.3</v>
      </c>
      <c r="D30" s="181">
        <v>4.5999999999999996</v>
      </c>
      <c r="E30" s="181">
        <v>3.4</v>
      </c>
      <c r="F30" s="141">
        <v>3</v>
      </c>
      <c r="G30" s="141">
        <v>7.1</v>
      </c>
      <c r="H30" s="141">
        <v>2</v>
      </c>
      <c r="I30" s="141">
        <v>7.1</v>
      </c>
      <c r="J30" s="15" t="s">
        <v>61</v>
      </c>
      <c r="K30" s="50" t="s">
        <v>243</v>
      </c>
      <c r="M30" s="17"/>
      <c r="N30" s="35"/>
      <c r="O30" s="35"/>
      <c r="P30" s="35"/>
      <c r="Q30" s="35"/>
      <c r="R30" s="18"/>
      <c r="S30" s="18"/>
    </row>
    <row r="31" spans="2:19" x14ac:dyDescent="0.15">
      <c r="B31" s="146" t="s">
        <v>40</v>
      </c>
      <c r="C31" s="80">
        <v>0.87</v>
      </c>
      <c r="D31" s="80">
        <v>0.87</v>
      </c>
      <c r="E31" s="80">
        <v>0.87</v>
      </c>
      <c r="F31" s="126">
        <v>0.83</v>
      </c>
      <c r="G31" s="126">
        <v>0.91</v>
      </c>
      <c r="H31" s="126">
        <v>0.83</v>
      </c>
      <c r="I31" s="126">
        <v>0.91</v>
      </c>
      <c r="J31" s="16"/>
      <c r="K31" s="16" t="s">
        <v>135</v>
      </c>
      <c r="M31" s="17"/>
      <c r="N31" s="35"/>
      <c r="O31" s="35"/>
      <c r="P31" s="35"/>
      <c r="Q31" s="35"/>
      <c r="R31" s="18"/>
      <c r="S31" s="18"/>
    </row>
    <row r="32" spans="2:19" x14ac:dyDescent="0.15">
      <c r="B32" s="146" t="s">
        <v>41</v>
      </c>
      <c r="C32" s="80">
        <v>0.13</v>
      </c>
      <c r="D32" s="80">
        <v>0.13</v>
      </c>
      <c r="E32" s="80">
        <v>0.13</v>
      </c>
      <c r="F32" s="126">
        <v>0.09</v>
      </c>
      <c r="G32" s="126">
        <v>0.17</v>
      </c>
      <c r="H32" s="126">
        <v>0.09</v>
      </c>
      <c r="I32" s="126">
        <v>0.17</v>
      </c>
      <c r="J32" s="16"/>
      <c r="K32" s="16" t="s">
        <v>135</v>
      </c>
      <c r="M32" s="17"/>
      <c r="N32" s="35"/>
      <c r="O32" s="35"/>
      <c r="P32" s="35"/>
      <c r="Q32" s="35"/>
      <c r="R32" s="18"/>
      <c r="S32" s="18"/>
    </row>
    <row r="33" spans="1:19" x14ac:dyDescent="0.15">
      <c r="B33" s="146" t="s">
        <v>42</v>
      </c>
      <c r="C33" s="82">
        <v>283000</v>
      </c>
      <c r="D33" s="82">
        <v>230000</v>
      </c>
      <c r="E33" s="82">
        <v>114000</v>
      </c>
      <c r="F33" s="82">
        <v>93000</v>
      </c>
      <c r="G33" s="82">
        <v>412000</v>
      </c>
      <c r="H33" s="82">
        <v>93000</v>
      </c>
      <c r="I33" s="82">
        <v>412000</v>
      </c>
      <c r="J33" s="16" t="s">
        <v>61</v>
      </c>
      <c r="K33" s="50" t="s">
        <v>135</v>
      </c>
      <c r="M33" s="17"/>
      <c r="N33" s="35"/>
      <c r="O33" s="35"/>
      <c r="P33" s="35"/>
      <c r="Q33" s="35"/>
      <c r="R33" s="18"/>
      <c r="S33" s="18"/>
    </row>
    <row r="34" spans="1:19" x14ac:dyDescent="0.15">
      <c r="B34" s="146" t="s">
        <v>45</v>
      </c>
      <c r="C34" s="85">
        <v>11.725714285714286</v>
      </c>
      <c r="D34" s="85">
        <v>8.7942857142857154</v>
      </c>
      <c r="E34" s="85">
        <v>7.3285714285714292</v>
      </c>
      <c r="F34" s="85"/>
      <c r="G34" s="85"/>
      <c r="H34" s="47"/>
      <c r="I34" s="36"/>
      <c r="J34" s="16"/>
      <c r="K34" s="50">
        <v>4</v>
      </c>
      <c r="M34" s="17"/>
      <c r="N34" s="35"/>
      <c r="O34" s="35"/>
      <c r="P34" s="35"/>
      <c r="Q34" s="35"/>
      <c r="R34" s="18"/>
      <c r="S34" s="18"/>
    </row>
    <row r="35" spans="1:19" x14ac:dyDescent="0.15">
      <c r="B35" s="22" t="s">
        <v>46</v>
      </c>
      <c r="C35" s="47"/>
      <c r="D35" s="47"/>
      <c r="E35" s="47"/>
      <c r="F35" s="47"/>
      <c r="G35" s="47"/>
      <c r="H35" s="47"/>
      <c r="I35" s="36"/>
      <c r="J35" s="16"/>
      <c r="K35" s="50"/>
      <c r="M35" s="261"/>
      <c r="N35" s="261"/>
      <c r="O35" s="261"/>
      <c r="P35" s="261"/>
      <c r="Q35" s="261"/>
      <c r="R35" s="261"/>
      <c r="S35" s="261"/>
    </row>
    <row r="36" spans="1:19" x14ac:dyDescent="0.15">
      <c r="B36" s="86" t="s">
        <v>47</v>
      </c>
      <c r="C36" s="123"/>
      <c r="D36" s="123"/>
      <c r="E36" s="123"/>
      <c r="F36" s="123"/>
      <c r="G36" s="123"/>
      <c r="H36" s="123"/>
      <c r="I36" s="123"/>
      <c r="J36" s="123"/>
      <c r="K36" s="124"/>
      <c r="N36" s="18"/>
      <c r="O36" s="18"/>
      <c r="P36" s="18"/>
      <c r="Q36" s="18"/>
      <c r="R36" s="18"/>
      <c r="S36" s="18"/>
    </row>
    <row r="37" spans="1:19" ht="15" customHeight="1" x14ac:dyDescent="0.15">
      <c r="B37" s="13"/>
      <c r="C37" s="36"/>
      <c r="D37" s="36"/>
      <c r="E37" s="36"/>
      <c r="F37" s="36"/>
      <c r="G37" s="36"/>
      <c r="H37" s="36"/>
      <c r="I37" s="36"/>
      <c r="J37" s="54"/>
      <c r="K37" s="36"/>
      <c r="N37" s="18"/>
      <c r="O37" s="18"/>
      <c r="P37" s="18"/>
      <c r="Q37" s="18"/>
      <c r="R37" s="18"/>
      <c r="S37" s="18"/>
    </row>
    <row r="38" spans="1:19" x14ac:dyDescent="0.15">
      <c r="A38" s="3"/>
      <c r="L38" s="4"/>
    </row>
    <row r="39" spans="1:19" s="1" customFormat="1" ht="12" x14ac:dyDescent="0.15">
      <c r="A39" s="3" t="s">
        <v>50</v>
      </c>
      <c r="C39" s="40"/>
      <c r="D39" s="40"/>
      <c r="E39" s="40"/>
      <c r="F39" s="40"/>
      <c r="G39" s="40"/>
    </row>
    <row r="40" spans="1:19" x14ac:dyDescent="0.15">
      <c r="A40" s="53">
        <v>1</v>
      </c>
      <c r="B40" s="53" t="s">
        <v>244</v>
      </c>
    </row>
    <row r="41" spans="1:19" x14ac:dyDescent="0.15">
      <c r="A41" s="53">
        <v>2</v>
      </c>
      <c r="B41" s="53" t="s">
        <v>245</v>
      </c>
    </row>
    <row r="42" spans="1:19" x14ac:dyDescent="0.15">
      <c r="A42" s="53">
        <v>3</v>
      </c>
      <c r="B42" s="53" t="s">
        <v>246</v>
      </c>
      <c r="C42" s="65"/>
      <c r="D42" s="65"/>
      <c r="E42" s="65"/>
      <c r="F42" s="65"/>
      <c r="G42" s="65"/>
      <c r="H42" s="65"/>
      <c r="I42" s="65"/>
      <c r="J42" s="65"/>
      <c r="K42" s="65"/>
    </row>
    <row r="43" spans="1:19" x14ac:dyDescent="0.15">
      <c r="A43" s="53">
        <v>4</v>
      </c>
      <c r="B43" s="53" t="s">
        <v>247</v>
      </c>
    </row>
    <row r="44" spans="1:19" x14ac:dyDescent="0.15">
      <c r="A44" s="53">
        <v>5</v>
      </c>
      <c r="B44" s="53" t="s">
        <v>232</v>
      </c>
    </row>
    <row r="45" spans="1:19" x14ac:dyDescent="0.15">
      <c r="A45" s="3" t="s">
        <v>59</v>
      </c>
    </row>
    <row r="46" spans="1:19" x14ac:dyDescent="0.15">
      <c r="A46" s="52" t="s">
        <v>13</v>
      </c>
      <c r="B46" s="53" t="s">
        <v>248</v>
      </c>
      <c r="C46" s="53"/>
      <c r="D46" s="53"/>
      <c r="E46" s="53"/>
      <c r="F46" s="53"/>
      <c r="G46" s="53"/>
      <c r="H46" s="53"/>
      <c r="I46" s="53"/>
      <c r="J46" s="53"/>
      <c r="K46" s="53"/>
    </row>
    <row r="47" spans="1:19" ht="14" customHeight="1" x14ac:dyDescent="0.15">
      <c r="A47" s="52" t="s">
        <v>61</v>
      </c>
      <c r="B47" s="255" t="s">
        <v>238</v>
      </c>
      <c r="C47" s="255"/>
      <c r="D47" s="255"/>
      <c r="E47" s="255"/>
      <c r="F47" s="255"/>
      <c r="G47" s="255"/>
      <c r="H47" s="255"/>
      <c r="I47" s="255"/>
      <c r="J47" s="255"/>
      <c r="K47" s="255"/>
    </row>
    <row r="48" spans="1:19" x14ac:dyDescent="0.15">
      <c r="A48" s="41" t="s">
        <v>32</v>
      </c>
      <c r="B48" s="1" t="s">
        <v>249</v>
      </c>
    </row>
    <row r="49" spans="1:1" x14ac:dyDescent="0.15">
      <c r="A49" s="41"/>
    </row>
    <row r="50" spans="1:1" ht="27.75" customHeight="1" x14ac:dyDescent="0.15"/>
    <row r="52" spans="1:1" ht="39.75" customHeight="1" x14ac:dyDescent="0.15"/>
  </sheetData>
  <mergeCells count="10">
    <mergeCell ref="M23:S23"/>
    <mergeCell ref="M28:S28"/>
    <mergeCell ref="M35:S35"/>
    <mergeCell ref="B47:K47"/>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AD4B-C9E0-4B75-A32B-49B4CEA19909}">
  <sheetPr>
    <tabColor theme="0" tint="-0.499984740745262"/>
  </sheetPr>
  <dimension ref="A1:S51"/>
  <sheetViews>
    <sheetView zoomScaleNormal="100" zoomScaleSheetLayoutView="120" workbookViewId="0">
      <selection activeCell="W62" sqref="W62"/>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283</v>
      </c>
      <c r="D3" s="256"/>
      <c r="E3" s="256"/>
      <c r="F3" s="256"/>
      <c r="G3" s="256"/>
      <c r="H3" s="256"/>
      <c r="I3" s="256"/>
      <c r="J3" s="256"/>
      <c r="K3" s="257"/>
      <c r="M3" s="63"/>
      <c r="N3" s="258" t="s">
        <v>284</v>
      </c>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150</v>
      </c>
      <c r="D6" s="47">
        <v>150</v>
      </c>
      <c r="E6" s="47">
        <v>150</v>
      </c>
      <c r="F6" s="47">
        <v>100</v>
      </c>
      <c r="G6" s="47">
        <v>200</v>
      </c>
      <c r="H6" s="47">
        <v>100</v>
      </c>
      <c r="I6" s="47">
        <v>200</v>
      </c>
      <c r="J6" s="15"/>
      <c r="K6" s="50" t="s">
        <v>133</v>
      </c>
      <c r="M6" s="17"/>
      <c r="N6" s="253"/>
      <c r="O6" s="254"/>
      <c r="P6" s="254"/>
      <c r="Q6" s="254"/>
      <c r="R6" s="254"/>
      <c r="S6" s="254"/>
    </row>
    <row r="7" spans="2:19" ht="15" customHeight="1" x14ac:dyDescent="0.15">
      <c r="B7" s="13" t="s">
        <v>11</v>
      </c>
      <c r="C7" s="47">
        <v>150</v>
      </c>
      <c r="D7" s="47">
        <v>150</v>
      </c>
      <c r="E7" s="47">
        <v>150</v>
      </c>
      <c r="F7" s="47">
        <v>100</v>
      </c>
      <c r="G7" s="47">
        <v>200</v>
      </c>
      <c r="H7" s="47">
        <v>100</v>
      </c>
      <c r="I7" s="47">
        <v>200</v>
      </c>
      <c r="J7" s="15"/>
      <c r="K7" s="50" t="s">
        <v>133</v>
      </c>
      <c r="M7" s="17"/>
      <c r="N7" s="60"/>
      <c r="O7" s="61"/>
      <c r="P7" s="61"/>
      <c r="Q7" s="61"/>
      <c r="R7" s="61"/>
      <c r="S7" s="61"/>
    </row>
    <row r="8" spans="2:19" x14ac:dyDescent="0.15">
      <c r="B8" s="13" t="s">
        <v>12</v>
      </c>
      <c r="C8" s="47">
        <v>34.83</v>
      </c>
      <c r="D8" s="47">
        <f>C8*1.03</f>
        <v>35.874899999999997</v>
      </c>
      <c r="E8" s="47">
        <f>C8*1.06</f>
        <v>36.919800000000002</v>
      </c>
      <c r="F8" s="47">
        <v>30</v>
      </c>
      <c r="G8" s="47">
        <v>38</v>
      </c>
      <c r="H8" s="47">
        <v>33</v>
      </c>
      <c r="I8" s="47">
        <v>39</v>
      </c>
      <c r="J8" s="15"/>
      <c r="K8" s="46" t="s">
        <v>243</v>
      </c>
      <c r="M8" s="17"/>
      <c r="N8" s="18"/>
      <c r="O8" s="18"/>
      <c r="P8" s="18"/>
      <c r="Q8" s="18"/>
      <c r="R8" s="18"/>
      <c r="S8" s="18"/>
    </row>
    <row r="9" spans="2:19" x14ac:dyDescent="0.15">
      <c r="B9" s="19" t="s">
        <v>14</v>
      </c>
      <c r="C9" s="47">
        <v>34.33</v>
      </c>
      <c r="D9" s="47">
        <f>C9*1.03</f>
        <v>35.359899999999996</v>
      </c>
      <c r="E9" s="47">
        <f>C9*1.06</f>
        <v>36.389800000000001</v>
      </c>
      <c r="F9" s="47">
        <v>29</v>
      </c>
      <c r="G9" s="47">
        <v>37</v>
      </c>
      <c r="H9" s="47">
        <v>32</v>
      </c>
      <c r="I9" s="47">
        <v>38</v>
      </c>
      <c r="J9" s="20"/>
      <c r="K9" s="66" t="s">
        <v>243</v>
      </c>
      <c r="M9" s="17"/>
      <c r="N9" s="18"/>
      <c r="O9" s="18"/>
      <c r="P9" s="18"/>
      <c r="Q9" s="18"/>
      <c r="R9" s="18"/>
      <c r="S9" s="18"/>
    </row>
    <row r="10" spans="2:19" x14ac:dyDescent="0.15">
      <c r="B10" s="13" t="s">
        <v>15</v>
      </c>
      <c r="C10" s="47">
        <v>7</v>
      </c>
      <c r="D10" s="15">
        <v>5</v>
      </c>
      <c r="E10" s="15">
        <v>3</v>
      </c>
      <c r="F10" s="47">
        <v>5</v>
      </c>
      <c r="G10" s="47">
        <v>20</v>
      </c>
      <c r="H10" s="47">
        <v>2</v>
      </c>
      <c r="I10" s="47">
        <v>7</v>
      </c>
      <c r="J10" s="15" t="s">
        <v>13</v>
      </c>
      <c r="K10" s="50" t="s">
        <v>133</v>
      </c>
      <c r="M10" s="1"/>
      <c r="N10" s="21"/>
      <c r="O10" s="21"/>
      <c r="P10" s="21"/>
      <c r="Q10" s="21"/>
      <c r="R10" s="21"/>
      <c r="S10" s="18"/>
    </row>
    <row r="11" spans="2:19" x14ac:dyDescent="0.15">
      <c r="B11" s="22" t="s">
        <v>16</v>
      </c>
      <c r="C11" s="47">
        <v>6</v>
      </c>
      <c r="D11" s="36">
        <v>5</v>
      </c>
      <c r="E11" s="36">
        <v>3</v>
      </c>
      <c r="F11" s="47">
        <v>3</v>
      </c>
      <c r="G11" s="47">
        <v>8</v>
      </c>
      <c r="H11" s="47">
        <v>2</v>
      </c>
      <c r="I11" s="47">
        <v>4</v>
      </c>
      <c r="J11" s="15" t="s">
        <v>13</v>
      </c>
      <c r="K11" s="50" t="s">
        <v>133</v>
      </c>
      <c r="M11" s="1"/>
      <c r="N11" s="21"/>
      <c r="O11" s="21"/>
      <c r="P11" s="21"/>
      <c r="Q11" s="21"/>
      <c r="R11" s="21"/>
      <c r="S11" s="18"/>
    </row>
    <row r="12" spans="2:19" x14ac:dyDescent="0.15">
      <c r="B12" s="22" t="s">
        <v>17</v>
      </c>
      <c r="C12" s="47">
        <v>30</v>
      </c>
      <c r="D12" s="47">
        <f>C12</f>
        <v>30</v>
      </c>
      <c r="E12" s="47">
        <f>D12</f>
        <v>30</v>
      </c>
      <c r="F12" s="47">
        <v>25</v>
      </c>
      <c r="G12" s="47">
        <v>40</v>
      </c>
      <c r="H12" s="47">
        <v>25</v>
      </c>
      <c r="I12" s="47">
        <v>40</v>
      </c>
      <c r="J12" s="15"/>
      <c r="K12" s="50" t="s">
        <v>133</v>
      </c>
      <c r="M12" s="17"/>
      <c r="N12" s="18"/>
      <c r="O12" s="18"/>
      <c r="P12" s="18"/>
      <c r="Q12" s="18"/>
      <c r="R12" s="18"/>
      <c r="S12" s="18"/>
    </row>
    <row r="13" spans="2:19" x14ac:dyDescent="0.15">
      <c r="B13" s="22" t="s">
        <v>18</v>
      </c>
      <c r="C13" s="47">
        <v>3.25</v>
      </c>
      <c r="D13" s="47">
        <f>C13</f>
        <v>3.25</v>
      </c>
      <c r="E13" s="47">
        <f>D13</f>
        <v>3.25</v>
      </c>
      <c r="F13" s="15">
        <v>2</v>
      </c>
      <c r="G13" s="15">
        <v>4</v>
      </c>
      <c r="H13" s="15">
        <v>2</v>
      </c>
      <c r="I13" s="47">
        <v>4</v>
      </c>
      <c r="J13" s="15"/>
      <c r="K13" s="50" t="s">
        <v>133</v>
      </c>
      <c r="M13" s="17"/>
      <c r="N13" s="18"/>
      <c r="O13" s="18"/>
      <c r="P13" s="18"/>
      <c r="Q13" s="18"/>
      <c r="R13" s="18"/>
      <c r="S13" s="18"/>
    </row>
    <row r="14" spans="2:19" x14ac:dyDescent="0.15">
      <c r="B14" s="23" t="s">
        <v>20</v>
      </c>
      <c r="C14" s="46" t="s">
        <v>31</v>
      </c>
      <c r="D14" s="46" t="s">
        <v>31</v>
      </c>
      <c r="E14" s="46" t="s">
        <v>31</v>
      </c>
      <c r="F14" s="46" t="s">
        <v>31</v>
      </c>
      <c r="G14" s="46" t="s">
        <v>31</v>
      </c>
      <c r="H14" s="46" t="s">
        <v>31</v>
      </c>
      <c r="I14" s="46" t="s">
        <v>31</v>
      </c>
      <c r="J14" s="16"/>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254</v>
      </c>
      <c r="C18" s="25"/>
      <c r="D18" s="25"/>
      <c r="E18" s="25"/>
      <c r="F18" s="25"/>
      <c r="G18" s="25"/>
      <c r="H18" s="25"/>
      <c r="I18" s="26"/>
      <c r="J18" s="26"/>
      <c r="K18" s="27"/>
      <c r="M18" s="17"/>
      <c r="N18" s="18"/>
      <c r="O18" s="18"/>
      <c r="P18" s="18"/>
      <c r="Q18" s="18"/>
      <c r="R18" s="18"/>
      <c r="S18" s="18"/>
    </row>
    <row r="19" spans="2:19" x14ac:dyDescent="0.15">
      <c r="B19" s="22" t="s">
        <v>25</v>
      </c>
      <c r="C19" s="14">
        <v>3.5</v>
      </c>
      <c r="D19" s="14">
        <f>C19</f>
        <v>3.5</v>
      </c>
      <c r="E19" s="14">
        <f>D19</f>
        <v>3.5</v>
      </c>
      <c r="F19" s="15">
        <v>2</v>
      </c>
      <c r="G19" s="15">
        <v>4</v>
      </c>
      <c r="H19" s="15">
        <v>2</v>
      </c>
      <c r="I19" s="15">
        <v>4</v>
      </c>
      <c r="J19" s="16" t="s">
        <v>61</v>
      </c>
      <c r="K19" s="50" t="s">
        <v>133</v>
      </c>
      <c r="L19" s="3"/>
      <c r="M19" s="17"/>
      <c r="N19" s="18"/>
      <c r="O19" s="18"/>
      <c r="P19" s="18"/>
      <c r="Q19" s="18"/>
      <c r="R19" s="18"/>
      <c r="S19" s="18"/>
    </row>
    <row r="20" spans="2:19" x14ac:dyDescent="0.15">
      <c r="B20" s="22" t="s">
        <v>26</v>
      </c>
      <c r="C20" s="47">
        <v>30</v>
      </c>
      <c r="D20" s="47">
        <v>25</v>
      </c>
      <c r="E20" s="47">
        <v>20</v>
      </c>
      <c r="F20" s="15">
        <v>25</v>
      </c>
      <c r="G20" s="15">
        <v>50</v>
      </c>
      <c r="H20" s="15">
        <v>10</v>
      </c>
      <c r="I20" s="15">
        <v>30</v>
      </c>
      <c r="J20" s="16" t="s">
        <v>13</v>
      </c>
      <c r="K20" s="50" t="s">
        <v>133</v>
      </c>
      <c r="M20" s="17"/>
      <c r="N20" s="18"/>
      <c r="O20" s="18"/>
      <c r="P20" s="18"/>
      <c r="Q20" s="18"/>
      <c r="R20" s="18"/>
      <c r="S20" s="18"/>
    </row>
    <row r="21" spans="2:19" x14ac:dyDescent="0.15">
      <c r="B21" s="22" t="s">
        <v>27</v>
      </c>
      <c r="C21" s="47">
        <v>3</v>
      </c>
      <c r="D21" s="47">
        <f t="shared" ref="D21:E22" si="0">C21</f>
        <v>3</v>
      </c>
      <c r="E21" s="47">
        <f t="shared" si="0"/>
        <v>3</v>
      </c>
      <c r="F21" s="15">
        <v>1</v>
      </c>
      <c r="G21" s="15">
        <v>5</v>
      </c>
      <c r="H21" s="15">
        <v>1</v>
      </c>
      <c r="I21" s="15">
        <v>5</v>
      </c>
      <c r="J21" s="16" t="s">
        <v>61</v>
      </c>
      <c r="K21" s="50" t="s">
        <v>133</v>
      </c>
      <c r="M21" s="17"/>
      <c r="N21" s="18"/>
      <c r="O21" s="18"/>
      <c r="P21" s="18"/>
      <c r="Q21" s="18"/>
      <c r="R21" s="18"/>
      <c r="S21" s="18"/>
    </row>
    <row r="22" spans="2:19" x14ac:dyDescent="0.15">
      <c r="B22" s="22" t="s">
        <v>28</v>
      </c>
      <c r="C22" s="47">
        <v>8</v>
      </c>
      <c r="D22" s="47">
        <f t="shared" si="0"/>
        <v>8</v>
      </c>
      <c r="E22" s="47">
        <f t="shared" si="0"/>
        <v>8</v>
      </c>
      <c r="F22" s="15">
        <v>5</v>
      </c>
      <c r="G22" s="15">
        <v>12</v>
      </c>
      <c r="H22" s="15">
        <v>5</v>
      </c>
      <c r="I22" s="15">
        <v>12</v>
      </c>
      <c r="J22" s="16" t="s">
        <v>61</v>
      </c>
      <c r="K22" s="50" t="s">
        <v>133</v>
      </c>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31">
        <v>150</v>
      </c>
      <c r="D24" s="31">
        <v>100</v>
      </c>
      <c r="E24" s="31">
        <v>100</v>
      </c>
      <c r="F24" s="31">
        <v>50</v>
      </c>
      <c r="G24" s="31">
        <v>150</v>
      </c>
      <c r="H24" s="31">
        <v>20</v>
      </c>
      <c r="I24" s="31">
        <v>100</v>
      </c>
      <c r="J24" s="30" t="s">
        <v>286</v>
      </c>
      <c r="K24" s="50" t="s">
        <v>287</v>
      </c>
      <c r="M24" s="17"/>
      <c r="N24" s="18"/>
      <c r="O24" s="18"/>
      <c r="P24" s="18"/>
      <c r="Q24" s="18"/>
      <c r="R24" s="18"/>
      <c r="S24" s="18"/>
    </row>
    <row r="25" spans="2:19" x14ac:dyDescent="0.15">
      <c r="B25" s="22" t="s">
        <v>33</v>
      </c>
      <c r="C25" s="31">
        <v>73</v>
      </c>
      <c r="D25" s="31">
        <v>80</v>
      </c>
      <c r="E25" s="31">
        <v>95</v>
      </c>
      <c r="F25" s="31">
        <v>73</v>
      </c>
      <c r="G25" s="31">
        <v>95</v>
      </c>
      <c r="H25" s="31">
        <v>73</v>
      </c>
      <c r="I25" s="31">
        <v>95</v>
      </c>
      <c r="J25" s="30" t="s">
        <v>288</v>
      </c>
      <c r="K25" s="50" t="s">
        <v>287</v>
      </c>
      <c r="M25" s="17"/>
      <c r="N25" s="18"/>
      <c r="O25" s="18"/>
      <c r="P25" s="18"/>
      <c r="Q25" s="18"/>
      <c r="R25" s="18"/>
      <c r="S25" s="18"/>
    </row>
    <row r="26" spans="2:19" ht="15" customHeight="1" x14ac:dyDescent="0.15">
      <c r="B26" s="22" t="s">
        <v>34</v>
      </c>
      <c r="C26" s="31">
        <f>750*0.35</f>
        <v>262.5</v>
      </c>
      <c r="D26" s="31">
        <v>150</v>
      </c>
      <c r="E26" s="31">
        <v>38</v>
      </c>
      <c r="F26" s="31">
        <f t="shared" ref="F26:I26" si="1">750*0.35</f>
        <v>262.5</v>
      </c>
      <c r="G26" s="31">
        <f t="shared" si="1"/>
        <v>262.5</v>
      </c>
      <c r="H26" s="31">
        <f t="shared" si="1"/>
        <v>262.5</v>
      </c>
      <c r="I26" s="31">
        <f t="shared" si="1"/>
        <v>262.5</v>
      </c>
      <c r="J26" s="32" t="s">
        <v>289</v>
      </c>
      <c r="K26" s="50" t="s">
        <v>287</v>
      </c>
      <c r="M26" s="17"/>
      <c r="N26" s="18"/>
      <c r="O26" s="18"/>
      <c r="P26" s="18"/>
      <c r="Q26" s="18"/>
      <c r="R26" s="18"/>
      <c r="S26" s="18"/>
    </row>
    <row r="27" spans="2:19" x14ac:dyDescent="0.15">
      <c r="B27" s="22" t="s">
        <v>35</v>
      </c>
      <c r="C27" s="31"/>
      <c r="D27" s="31"/>
      <c r="E27" s="31"/>
      <c r="F27" s="31"/>
      <c r="G27" s="31"/>
      <c r="H27" s="31"/>
      <c r="I27" s="31"/>
      <c r="J27" s="16"/>
      <c r="K27" s="16"/>
      <c r="M27" s="17"/>
      <c r="N27" s="33"/>
      <c r="O27" s="33"/>
      <c r="P27" s="33"/>
      <c r="Q27" s="33"/>
      <c r="R27" s="18"/>
      <c r="S27" s="18"/>
    </row>
    <row r="28" spans="2:19" x14ac:dyDescent="0.15">
      <c r="B28" s="22" t="s">
        <v>36</v>
      </c>
      <c r="C28" s="31"/>
      <c r="D28" s="31"/>
      <c r="E28" s="31"/>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1.65</v>
      </c>
      <c r="D30" s="51">
        <f>$C30*0.97</f>
        <v>1.6004999999999998</v>
      </c>
      <c r="E30" s="51">
        <f>$C30*0.94</f>
        <v>1.5509999999999999</v>
      </c>
      <c r="F30" s="49">
        <v>1</v>
      </c>
      <c r="G30" s="49">
        <v>1.7</v>
      </c>
      <c r="H30" s="49">
        <v>1.05</v>
      </c>
      <c r="I30" s="51">
        <v>1.7</v>
      </c>
      <c r="J30" s="16" t="s">
        <v>290</v>
      </c>
      <c r="K30" s="50" t="s">
        <v>291</v>
      </c>
      <c r="M30" s="17"/>
      <c r="N30" s="35"/>
      <c r="O30" s="35"/>
      <c r="P30" s="35"/>
      <c r="Q30" s="35"/>
      <c r="R30" s="18"/>
      <c r="S30" s="18"/>
    </row>
    <row r="31" spans="2:19" x14ac:dyDescent="0.15">
      <c r="B31" s="22" t="s">
        <v>40</v>
      </c>
      <c r="C31" s="122"/>
      <c r="D31" s="122"/>
      <c r="E31" s="122"/>
      <c r="F31" s="122"/>
      <c r="G31" s="122"/>
      <c r="H31" s="122"/>
      <c r="I31" s="122"/>
      <c r="J31" s="16"/>
      <c r="K31" s="16"/>
      <c r="M31" s="17"/>
      <c r="N31" s="35"/>
      <c r="O31" s="35"/>
      <c r="P31" s="35"/>
      <c r="Q31" s="35"/>
      <c r="R31" s="18"/>
      <c r="S31" s="18"/>
    </row>
    <row r="32" spans="2:19" x14ac:dyDescent="0.15">
      <c r="B32" s="22" t="s">
        <v>41</v>
      </c>
      <c r="C32" s="122"/>
      <c r="D32" s="122"/>
      <c r="E32" s="122"/>
      <c r="F32" s="122"/>
      <c r="G32" s="122"/>
      <c r="H32" s="122"/>
      <c r="I32" s="122"/>
      <c r="J32" s="16"/>
      <c r="K32" s="16"/>
      <c r="M32" s="17"/>
      <c r="N32" s="35"/>
      <c r="O32" s="35"/>
      <c r="P32" s="35"/>
      <c r="Q32" s="35"/>
      <c r="R32" s="18"/>
      <c r="S32" s="18"/>
    </row>
    <row r="33" spans="1:19" x14ac:dyDescent="0.15">
      <c r="B33" s="22" t="s">
        <v>42</v>
      </c>
      <c r="C33" s="185">
        <v>45300</v>
      </c>
      <c r="D33" s="36">
        <f>ROUND($C$33*0.97/100,0)*100</f>
        <v>43900</v>
      </c>
      <c r="E33" s="36">
        <f>ROUND($C$33*0.94/100,0)*100</f>
        <v>42600</v>
      </c>
      <c r="F33" s="36">
        <f>MROUND(C33*0.75,100)</f>
        <v>34000</v>
      </c>
      <c r="G33" s="36">
        <f>MROUND(C33*1.25,100)</f>
        <v>56600</v>
      </c>
      <c r="H33" s="36">
        <f>MROUND(E33*0.75,100)</f>
        <v>32000</v>
      </c>
      <c r="I33" s="36">
        <f>MROUND(E33*1.25,100)</f>
        <v>53300</v>
      </c>
      <c r="J33" s="16" t="s">
        <v>142</v>
      </c>
      <c r="K33" s="50" t="s">
        <v>291</v>
      </c>
      <c r="M33" s="17"/>
      <c r="N33" s="35"/>
      <c r="O33" s="35"/>
      <c r="P33" s="35"/>
      <c r="Q33" s="35"/>
      <c r="R33" s="18"/>
      <c r="S33" s="18"/>
    </row>
    <row r="34" spans="1:19" x14ac:dyDescent="0.15">
      <c r="B34" s="22" t="s">
        <v>45</v>
      </c>
      <c r="C34" s="49">
        <v>0.125</v>
      </c>
      <c r="D34" s="51">
        <f>$C34*0.97</f>
        <v>0.12125</v>
      </c>
      <c r="E34" s="51">
        <f>$C34*0.94</f>
        <v>0.11749999999999999</v>
      </c>
      <c r="F34" s="51">
        <f>C34*0.75</f>
        <v>9.375E-2</v>
      </c>
      <c r="G34" s="51">
        <f>C34*1.25</f>
        <v>0.15625</v>
      </c>
      <c r="H34" s="51">
        <f>E34*0.75</f>
        <v>8.8124999999999995E-2</v>
      </c>
      <c r="I34" s="51">
        <f>E34*1.25</f>
        <v>0.14687499999999998</v>
      </c>
      <c r="J34" s="16" t="s">
        <v>142</v>
      </c>
      <c r="K34" s="50" t="s">
        <v>291</v>
      </c>
      <c r="M34" s="17"/>
      <c r="N34" s="35"/>
      <c r="O34" s="35"/>
      <c r="P34" s="35"/>
      <c r="Q34" s="35"/>
      <c r="R34" s="18"/>
      <c r="S34" s="18"/>
    </row>
    <row r="35" spans="1:19" x14ac:dyDescent="0.15">
      <c r="B35" s="22" t="s">
        <v>46</v>
      </c>
      <c r="C35" s="47">
        <v>110</v>
      </c>
      <c r="D35" s="47">
        <v>110</v>
      </c>
      <c r="E35" s="47">
        <v>110</v>
      </c>
      <c r="F35" s="36">
        <v>50</v>
      </c>
      <c r="G35" s="36">
        <v>200</v>
      </c>
      <c r="H35" s="36">
        <v>50</v>
      </c>
      <c r="I35" s="36">
        <v>200</v>
      </c>
      <c r="J35" s="16"/>
      <c r="K35" s="50" t="s">
        <v>292</v>
      </c>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row>
    <row r="39" spans="1:19" x14ac:dyDescent="0.15">
      <c r="A39" s="53">
        <v>2</v>
      </c>
      <c r="B39" s="53" t="s">
        <v>293</v>
      </c>
    </row>
    <row r="40" spans="1:19" x14ac:dyDescent="0.15">
      <c r="A40" s="53">
        <v>3</v>
      </c>
      <c r="B40" s="53" t="s">
        <v>54</v>
      </c>
    </row>
    <row r="41" spans="1:19" x14ac:dyDescent="0.15">
      <c r="A41" s="53">
        <v>4</v>
      </c>
      <c r="B41" s="53" t="s">
        <v>294</v>
      </c>
    </row>
    <row r="42" spans="1:19" x14ac:dyDescent="0.15">
      <c r="A42" s="53">
        <v>5</v>
      </c>
      <c r="B42" s="53" t="s">
        <v>269</v>
      </c>
    </row>
    <row r="43" spans="1:19" x14ac:dyDescent="0.15">
      <c r="A43" s="3" t="s">
        <v>59</v>
      </c>
    </row>
    <row r="44" spans="1:19" x14ac:dyDescent="0.15">
      <c r="A44" s="52" t="s">
        <v>13</v>
      </c>
      <c r="B44" s="53" t="s">
        <v>295</v>
      </c>
      <c r="C44" s="53"/>
      <c r="D44" s="53"/>
      <c r="E44" s="53"/>
      <c r="F44" s="53"/>
      <c r="G44" s="53"/>
      <c r="H44" s="53"/>
      <c r="I44" s="53"/>
      <c r="J44" s="53"/>
      <c r="K44" s="53"/>
    </row>
    <row r="45" spans="1:19" ht="13.5" customHeight="1" x14ac:dyDescent="0.15">
      <c r="A45" s="52" t="s">
        <v>61</v>
      </c>
      <c r="B45" s="53" t="s">
        <v>296</v>
      </c>
      <c r="C45" s="53"/>
      <c r="D45" s="53"/>
      <c r="E45" s="53"/>
      <c r="F45" s="53"/>
      <c r="G45" s="53"/>
      <c r="H45" s="53"/>
      <c r="I45" s="53"/>
      <c r="J45" s="53"/>
      <c r="K45" s="53"/>
    </row>
    <row r="46" spans="1:19" ht="25.5" customHeight="1" x14ac:dyDescent="0.15">
      <c r="A46" s="52" t="s">
        <v>32</v>
      </c>
      <c r="B46" s="255" t="s">
        <v>297</v>
      </c>
      <c r="C46" s="255"/>
      <c r="D46" s="255"/>
      <c r="E46" s="255"/>
      <c r="F46" s="255"/>
      <c r="G46" s="255"/>
      <c r="H46" s="255"/>
      <c r="I46" s="255"/>
      <c r="J46" s="255"/>
      <c r="K46" s="255"/>
    </row>
    <row r="47" spans="1:19" x14ac:dyDescent="0.15">
      <c r="A47" s="52" t="s">
        <v>64</v>
      </c>
      <c r="B47" s="53" t="s">
        <v>298</v>
      </c>
      <c r="C47" s="53"/>
      <c r="D47" s="53"/>
      <c r="E47" s="53"/>
      <c r="F47" s="53"/>
      <c r="G47" s="53"/>
      <c r="H47" s="53"/>
      <c r="I47" s="53"/>
      <c r="J47" s="53"/>
      <c r="K47" s="53"/>
    </row>
    <row r="48" spans="1:19" x14ac:dyDescent="0.15">
      <c r="A48" s="52" t="s">
        <v>66</v>
      </c>
      <c r="B48" s="53" t="s">
        <v>299</v>
      </c>
      <c r="C48" s="53"/>
      <c r="D48" s="53"/>
      <c r="E48" s="53"/>
      <c r="F48" s="53"/>
      <c r="G48" s="53"/>
      <c r="H48" s="53"/>
      <c r="I48" s="53"/>
      <c r="J48" s="53"/>
      <c r="K48" s="53"/>
    </row>
    <row r="49" spans="1:11" x14ac:dyDescent="0.15">
      <c r="A49" s="52" t="s">
        <v>77</v>
      </c>
      <c r="B49" s="53" t="s">
        <v>300</v>
      </c>
      <c r="C49" s="53"/>
      <c r="D49" s="53"/>
      <c r="E49" s="53"/>
      <c r="F49" s="53"/>
      <c r="G49" s="53"/>
      <c r="H49" s="53"/>
      <c r="I49" s="53"/>
      <c r="J49" s="53"/>
      <c r="K49" s="53"/>
    </row>
    <row r="50" spans="1:11" x14ac:dyDescent="0.15">
      <c r="A50" s="41" t="s">
        <v>142</v>
      </c>
      <c r="B50" s="1" t="s">
        <v>75</v>
      </c>
    </row>
    <row r="51" spans="1:11" x14ac:dyDescent="0.15">
      <c r="A51" s="52" t="s">
        <v>144</v>
      </c>
      <c r="B51" s="53" t="s">
        <v>76</v>
      </c>
    </row>
  </sheetData>
  <mergeCells count="10">
    <mergeCell ref="M23:S23"/>
    <mergeCell ref="M28:S28"/>
    <mergeCell ref="M35:S35"/>
    <mergeCell ref="B46:K46"/>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B6D8-219E-4760-A657-D1621DA30E60}">
  <sheetPr>
    <tabColor theme="0" tint="-0.499984740745262"/>
  </sheetPr>
  <dimension ref="A1:S53"/>
  <sheetViews>
    <sheetView topLeftCell="A7" zoomScaleNormal="100" zoomScaleSheetLayoutView="120" workbookViewId="0">
      <selection activeCell="W62" sqref="W62"/>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301</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600</v>
      </c>
      <c r="D6" s="47">
        <v>600</v>
      </c>
      <c r="E6" s="47">
        <v>600</v>
      </c>
      <c r="F6" s="47">
        <v>300</v>
      </c>
      <c r="G6" s="47">
        <v>800</v>
      </c>
      <c r="H6" s="47">
        <v>300</v>
      </c>
      <c r="I6" s="47">
        <v>800</v>
      </c>
      <c r="J6" s="15"/>
      <c r="K6" s="50" t="s">
        <v>133</v>
      </c>
      <c r="M6" s="17"/>
      <c r="N6" s="253"/>
      <c r="O6" s="254"/>
      <c r="P6" s="254"/>
      <c r="Q6" s="254"/>
      <c r="R6" s="254"/>
      <c r="S6" s="254"/>
    </row>
    <row r="7" spans="2:19" ht="15" customHeight="1" x14ac:dyDescent="0.15">
      <c r="B7" s="13" t="s">
        <v>11</v>
      </c>
      <c r="C7" s="47">
        <v>600</v>
      </c>
      <c r="D7" s="47">
        <v>600</v>
      </c>
      <c r="E7" s="47">
        <v>600</v>
      </c>
      <c r="F7" s="47">
        <v>300</v>
      </c>
      <c r="G7" s="47">
        <v>800</v>
      </c>
      <c r="H7" s="47">
        <v>300</v>
      </c>
      <c r="I7" s="47">
        <v>800</v>
      </c>
      <c r="J7" s="15"/>
      <c r="K7" s="50" t="s">
        <v>133</v>
      </c>
      <c r="M7" s="17"/>
      <c r="N7" s="60"/>
      <c r="O7" s="61"/>
      <c r="P7" s="61"/>
      <c r="Q7" s="61"/>
      <c r="R7" s="61"/>
      <c r="S7" s="61"/>
    </row>
    <row r="8" spans="2:19" x14ac:dyDescent="0.15">
      <c r="B8" s="13" t="s">
        <v>12</v>
      </c>
      <c r="C8" s="48">
        <v>37.67</v>
      </c>
      <c r="D8" s="47">
        <f>C8*1.03</f>
        <v>38.8001</v>
      </c>
      <c r="E8" s="47">
        <f>C8*1.06</f>
        <v>39.930200000000006</v>
      </c>
      <c r="F8" s="48">
        <v>33</v>
      </c>
      <c r="G8" s="48">
        <v>40</v>
      </c>
      <c r="H8" s="48">
        <v>35</v>
      </c>
      <c r="I8" s="48">
        <v>42</v>
      </c>
      <c r="J8" s="15"/>
      <c r="K8" s="46" t="s">
        <v>302</v>
      </c>
      <c r="M8" s="17"/>
      <c r="N8" s="18"/>
      <c r="O8" s="18"/>
      <c r="P8" s="18"/>
      <c r="Q8" s="18"/>
      <c r="R8" s="18"/>
      <c r="S8" s="18"/>
    </row>
    <row r="9" spans="2:19" x14ac:dyDescent="0.15">
      <c r="B9" s="19" t="s">
        <v>14</v>
      </c>
      <c r="C9" s="48">
        <f>C8-1</f>
        <v>36.67</v>
      </c>
      <c r="D9" s="47">
        <f>C9*1.03</f>
        <v>37.770099999999999</v>
      </c>
      <c r="E9" s="47">
        <f>C9*1.06</f>
        <v>38.870200000000004</v>
      </c>
      <c r="F9" s="48">
        <v>33</v>
      </c>
      <c r="G9" s="48">
        <v>40</v>
      </c>
      <c r="H9" s="48">
        <v>35</v>
      </c>
      <c r="I9" s="48">
        <v>42</v>
      </c>
      <c r="J9" s="20"/>
      <c r="K9" s="66" t="s">
        <v>291</v>
      </c>
      <c r="M9" s="17"/>
      <c r="N9" s="18"/>
      <c r="O9" s="18"/>
      <c r="P9" s="18"/>
      <c r="Q9" s="18"/>
      <c r="R9" s="18"/>
      <c r="S9" s="18"/>
    </row>
    <row r="10" spans="2:19" x14ac:dyDescent="0.15">
      <c r="B10" s="13" t="s">
        <v>15</v>
      </c>
      <c r="C10" s="48">
        <v>7</v>
      </c>
      <c r="D10" s="48">
        <v>6</v>
      </c>
      <c r="E10" s="48">
        <v>3</v>
      </c>
      <c r="F10" s="47">
        <v>5</v>
      </c>
      <c r="G10" s="47">
        <v>15</v>
      </c>
      <c r="H10" s="47">
        <v>2</v>
      </c>
      <c r="I10" s="47">
        <v>7</v>
      </c>
      <c r="J10" s="15" t="s">
        <v>13</v>
      </c>
      <c r="K10" s="50" t="s">
        <v>133</v>
      </c>
      <c r="M10" s="1"/>
      <c r="N10" s="21"/>
      <c r="O10" s="21"/>
      <c r="P10" s="21"/>
      <c r="Q10" s="21"/>
      <c r="R10" s="21"/>
      <c r="S10" s="18"/>
    </row>
    <row r="11" spans="2:19" x14ac:dyDescent="0.15">
      <c r="B11" s="22" t="s">
        <v>16</v>
      </c>
      <c r="C11" s="48">
        <v>7</v>
      </c>
      <c r="D11" s="48">
        <v>5</v>
      </c>
      <c r="E11" s="48">
        <v>3</v>
      </c>
      <c r="F11" s="47">
        <v>3</v>
      </c>
      <c r="G11" s="47">
        <v>8</v>
      </c>
      <c r="H11" s="47">
        <v>2</v>
      </c>
      <c r="I11" s="47">
        <v>4</v>
      </c>
      <c r="J11" s="15" t="s">
        <v>13</v>
      </c>
      <c r="K11" s="50" t="s">
        <v>133</v>
      </c>
      <c r="M11" s="1"/>
      <c r="N11" s="21"/>
      <c r="O11" s="21"/>
      <c r="P11" s="21"/>
      <c r="Q11" s="21"/>
      <c r="R11" s="21"/>
      <c r="S11" s="18"/>
    </row>
    <row r="12" spans="2:19" x14ac:dyDescent="0.15">
      <c r="B12" s="22" t="s">
        <v>17</v>
      </c>
      <c r="C12" s="48">
        <v>30</v>
      </c>
      <c r="D12" s="48">
        <v>30</v>
      </c>
      <c r="E12" s="48">
        <v>30</v>
      </c>
      <c r="F12" s="47">
        <v>25</v>
      </c>
      <c r="G12" s="47">
        <v>40</v>
      </c>
      <c r="H12" s="47">
        <v>25</v>
      </c>
      <c r="I12" s="47">
        <v>40</v>
      </c>
      <c r="J12" s="15"/>
      <c r="K12" s="50" t="s">
        <v>133</v>
      </c>
      <c r="M12" s="17"/>
      <c r="N12" s="18"/>
      <c r="O12" s="18"/>
      <c r="P12" s="18"/>
      <c r="Q12" s="18"/>
      <c r="R12" s="18"/>
      <c r="S12" s="18"/>
    </row>
    <row r="13" spans="2:19" x14ac:dyDescent="0.15">
      <c r="B13" s="22" t="s">
        <v>18</v>
      </c>
      <c r="C13" s="48">
        <v>3.75</v>
      </c>
      <c r="D13" s="48">
        <v>3</v>
      </c>
      <c r="E13" s="48">
        <v>3</v>
      </c>
      <c r="F13" s="15">
        <v>3</v>
      </c>
      <c r="G13" s="15">
        <v>5</v>
      </c>
      <c r="H13" s="15">
        <v>2</v>
      </c>
      <c r="I13" s="47">
        <v>4</v>
      </c>
      <c r="J13" s="15" t="s">
        <v>13</v>
      </c>
      <c r="K13" s="50" t="s">
        <v>133</v>
      </c>
      <c r="M13" s="17"/>
      <c r="N13" s="18"/>
      <c r="O13" s="18"/>
      <c r="P13" s="18"/>
      <c r="Q13" s="18"/>
      <c r="R13" s="18"/>
      <c r="S13" s="18"/>
    </row>
    <row r="14" spans="2:19" x14ac:dyDescent="0.15">
      <c r="B14" s="23" t="s">
        <v>20</v>
      </c>
      <c r="C14" s="46" t="s">
        <v>253</v>
      </c>
      <c r="D14" s="46" t="s">
        <v>253</v>
      </c>
      <c r="E14" s="46" t="s">
        <v>253</v>
      </c>
      <c r="F14" s="46" t="s">
        <v>253</v>
      </c>
      <c r="G14" s="46" t="s">
        <v>253</v>
      </c>
      <c r="H14" s="46" t="s">
        <v>253</v>
      </c>
      <c r="I14" s="46" t="s">
        <v>253</v>
      </c>
      <c r="J14" s="16"/>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253</v>
      </c>
      <c r="D16" s="46" t="s">
        <v>253</v>
      </c>
      <c r="E16" s="46" t="s">
        <v>253</v>
      </c>
      <c r="F16" s="46" t="s">
        <v>253</v>
      </c>
      <c r="G16" s="46" t="s">
        <v>253</v>
      </c>
      <c r="H16" s="46" t="s">
        <v>253</v>
      </c>
      <c r="I16" s="46" t="s">
        <v>253</v>
      </c>
      <c r="J16" s="16"/>
      <c r="K16" s="15"/>
      <c r="M16" s="17"/>
      <c r="N16" s="18"/>
      <c r="O16" s="18"/>
      <c r="P16" s="18"/>
      <c r="Q16" s="18"/>
      <c r="R16" s="18"/>
      <c r="S16" s="18"/>
    </row>
    <row r="17" spans="2:19" x14ac:dyDescent="0.15">
      <c r="B17" s="23" t="s">
        <v>23</v>
      </c>
      <c r="C17" s="46" t="s">
        <v>253</v>
      </c>
      <c r="D17" s="46" t="s">
        <v>253</v>
      </c>
      <c r="E17" s="46" t="s">
        <v>253</v>
      </c>
      <c r="F17" s="46" t="s">
        <v>253</v>
      </c>
      <c r="G17" s="46" t="s">
        <v>253</v>
      </c>
      <c r="H17" s="46" t="s">
        <v>253</v>
      </c>
      <c r="I17" s="46" t="s">
        <v>253</v>
      </c>
      <c r="J17" s="16"/>
      <c r="K17" s="15"/>
      <c r="M17" s="17"/>
      <c r="N17" s="18"/>
      <c r="O17" s="18"/>
      <c r="P17" s="18"/>
      <c r="Q17" s="18"/>
      <c r="R17" s="18"/>
      <c r="S17" s="18"/>
    </row>
    <row r="18" spans="2:19" x14ac:dyDescent="0.15">
      <c r="B18" s="24" t="s">
        <v>254</v>
      </c>
      <c r="C18" s="25"/>
      <c r="D18" s="25"/>
      <c r="E18" s="25"/>
      <c r="F18" s="25"/>
      <c r="G18" s="25"/>
      <c r="H18" s="25"/>
      <c r="I18" s="26"/>
      <c r="J18" s="26"/>
      <c r="K18" s="27"/>
      <c r="M18" s="17"/>
      <c r="N18" s="18"/>
      <c r="O18" s="18"/>
      <c r="P18" s="18"/>
      <c r="Q18" s="18"/>
      <c r="R18" s="18"/>
      <c r="S18" s="18"/>
    </row>
    <row r="19" spans="2:19" x14ac:dyDescent="0.15">
      <c r="B19" s="22" t="s">
        <v>25</v>
      </c>
      <c r="C19" s="48">
        <v>4</v>
      </c>
      <c r="D19" s="48">
        <v>4</v>
      </c>
      <c r="E19" s="48">
        <v>4</v>
      </c>
      <c r="F19" s="48">
        <v>3</v>
      </c>
      <c r="G19" s="48">
        <v>4</v>
      </c>
      <c r="H19" s="48">
        <v>3</v>
      </c>
      <c r="I19" s="48">
        <v>4</v>
      </c>
      <c r="J19" s="16" t="s">
        <v>61</v>
      </c>
      <c r="K19" s="50" t="s">
        <v>133</v>
      </c>
      <c r="L19" s="3"/>
      <c r="M19" s="17"/>
      <c r="N19" s="18"/>
      <c r="O19" s="18"/>
      <c r="P19" s="18"/>
      <c r="Q19" s="18"/>
      <c r="R19" s="18"/>
      <c r="S19" s="18"/>
    </row>
    <row r="20" spans="2:19" x14ac:dyDescent="0.15">
      <c r="B20" s="22" t="s">
        <v>26</v>
      </c>
      <c r="C20" s="48">
        <v>25</v>
      </c>
      <c r="D20" s="47">
        <v>25</v>
      </c>
      <c r="E20" s="47">
        <v>20</v>
      </c>
      <c r="F20" s="15">
        <v>25</v>
      </c>
      <c r="G20" s="15">
        <v>50</v>
      </c>
      <c r="H20" s="15">
        <v>10</v>
      </c>
      <c r="I20" s="15">
        <v>30</v>
      </c>
      <c r="J20" s="16" t="s">
        <v>13</v>
      </c>
      <c r="K20" s="50" t="s">
        <v>133</v>
      </c>
      <c r="M20" s="17"/>
      <c r="N20" s="18"/>
      <c r="O20" s="18"/>
      <c r="P20" s="18"/>
      <c r="Q20" s="18"/>
      <c r="R20" s="18"/>
      <c r="S20" s="18"/>
    </row>
    <row r="21" spans="2:19" x14ac:dyDescent="0.15">
      <c r="B21" s="22" t="s">
        <v>27</v>
      </c>
      <c r="C21" s="48">
        <v>4</v>
      </c>
      <c r="D21" s="48">
        <v>4</v>
      </c>
      <c r="E21" s="48">
        <v>4</v>
      </c>
      <c r="F21" s="15">
        <v>2</v>
      </c>
      <c r="G21" s="15">
        <v>5</v>
      </c>
      <c r="H21" s="15">
        <v>2</v>
      </c>
      <c r="I21" s="15">
        <v>5</v>
      </c>
      <c r="J21" s="16" t="s">
        <v>61</v>
      </c>
      <c r="K21" s="50" t="s">
        <v>133</v>
      </c>
      <c r="M21" s="17"/>
      <c r="N21" s="18"/>
      <c r="O21" s="18"/>
      <c r="P21" s="18"/>
      <c r="Q21" s="18"/>
      <c r="R21" s="18"/>
      <c r="S21" s="18"/>
    </row>
    <row r="22" spans="2:19" x14ac:dyDescent="0.15">
      <c r="B22" s="22" t="s">
        <v>28</v>
      </c>
      <c r="C22" s="48">
        <v>12</v>
      </c>
      <c r="D22" s="48">
        <v>12</v>
      </c>
      <c r="E22" s="48">
        <v>12</v>
      </c>
      <c r="F22" s="15">
        <v>6</v>
      </c>
      <c r="G22" s="15">
        <v>15</v>
      </c>
      <c r="H22" s="15">
        <v>6</v>
      </c>
      <c r="I22" s="15">
        <v>12</v>
      </c>
      <c r="J22" s="16" t="s">
        <v>61</v>
      </c>
      <c r="K22" s="50" t="s">
        <v>133</v>
      </c>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31">
        <v>150</v>
      </c>
      <c r="D24" s="31">
        <v>100</v>
      </c>
      <c r="E24" s="31">
        <v>100</v>
      </c>
      <c r="F24" s="31">
        <v>50</v>
      </c>
      <c r="G24" s="31">
        <v>150</v>
      </c>
      <c r="H24" s="31">
        <v>20</v>
      </c>
      <c r="I24" s="31">
        <v>100</v>
      </c>
      <c r="J24" s="30" t="s">
        <v>77</v>
      </c>
      <c r="K24" s="50" t="s">
        <v>287</v>
      </c>
      <c r="M24" s="17"/>
      <c r="N24" s="18"/>
      <c r="O24" s="18"/>
      <c r="P24" s="18"/>
      <c r="Q24" s="18"/>
      <c r="R24" s="18"/>
      <c r="S24" s="18"/>
    </row>
    <row r="25" spans="2:19" x14ac:dyDescent="0.15">
      <c r="B25" s="22" t="s">
        <v>33</v>
      </c>
      <c r="C25" s="31">
        <v>73</v>
      </c>
      <c r="D25" s="31">
        <v>73</v>
      </c>
      <c r="E25" s="31">
        <v>73</v>
      </c>
      <c r="F25" s="31">
        <v>73</v>
      </c>
      <c r="G25" s="31">
        <v>95</v>
      </c>
      <c r="H25" s="31">
        <v>73</v>
      </c>
      <c r="I25" s="31">
        <v>95</v>
      </c>
      <c r="J25" s="30" t="s">
        <v>71</v>
      </c>
      <c r="K25" s="50" t="s">
        <v>287</v>
      </c>
      <c r="M25" s="17"/>
      <c r="N25" s="18"/>
      <c r="O25" s="18"/>
      <c r="P25" s="18"/>
      <c r="Q25" s="18"/>
      <c r="R25" s="18"/>
      <c r="S25" s="18"/>
    </row>
    <row r="26" spans="2:19" ht="15" customHeight="1" x14ac:dyDescent="0.15">
      <c r="B26" s="22" t="s">
        <v>34</v>
      </c>
      <c r="C26" s="31">
        <f>750*0.35</f>
        <v>262.5</v>
      </c>
      <c r="D26" s="31">
        <f t="shared" ref="D26:I26" si="0">750*0.35</f>
        <v>262.5</v>
      </c>
      <c r="E26" s="31">
        <f t="shared" si="0"/>
        <v>262.5</v>
      </c>
      <c r="F26" s="31">
        <f t="shared" si="0"/>
        <v>262.5</v>
      </c>
      <c r="G26" s="31">
        <f t="shared" si="0"/>
        <v>262.5</v>
      </c>
      <c r="H26" s="31">
        <f t="shared" si="0"/>
        <v>262.5</v>
      </c>
      <c r="I26" s="31">
        <f t="shared" si="0"/>
        <v>262.5</v>
      </c>
      <c r="J26" s="32" t="s">
        <v>64</v>
      </c>
      <c r="K26" s="50" t="s">
        <v>287</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c r="K27" s="16"/>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58">
        <v>1.4</v>
      </c>
      <c r="D30" s="49">
        <f>C30*0.97</f>
        <v>1.3579999999999999</v>
      </c>
      <c r="E30" s="49">
        <f>C30*0.94</f>
        <v>1.3159999999999998</v>
      </c>
      <c r="F30" s="51">
        <f>C30*0.75</f>
        <v>1.0499999999999998</v>
      </c>
      <c r="G30" s="51">
        <f>C30*1.25</f>
        <v>1.75</v>
      </c>
      <c r="H30" s="51">
        <f>E30*0.75</f>
        <v>0.98699999999999988</v>
      </c>
      <c r="I30" s="51">
        <f>E30*1.25</f>
        <v>1.6449999999999998</v>
      </c>
      <c r="J30" s="16" t="s">
        <v>303</v>
      </c>
      <c r="K30" s="50" t="s">
        <v>302</v>
      </c>
      <c r="M30" s="17"/>
      <c r="N30" s="35"/>
      <c r="O30" s="35"/>
      <c r="P30" s="35"/>
      <c r="Q30" s="35"/>
      <c r="R30" s="18"/>
      <c r="S30" s="18"/>
    </row>
    <row r="31" spans="2:19" x14ac:dyDescent="0.15">
      <c r="B31" s="22" t="s">
        <v>40</v>
      </c>
      <c r="C31" s="122"/>
      <c r="D31" s="122"/>
      <c r="E31" s="122"/>
      <c r="F31" s="122"/>
      <c r="G31" s="122"/>
      <c r="H31" s="122"/>
      <c r="I31" s="122"/>
      <c r="J31" s="16"/>
      <c r="K31" s="16"/>
      <c r="M31" s="17"/>
      <c r="N31" s="35"/>
      <c r="O31" s="35"/>
      <c r="P31" s="35"/>
      <c r="Q31" s="35"/>
      <c r="R31" s="18"/>
      <c r="S31" s="18"/>
    </row>
    <row r="32" spans="2:19" x14ac:dyDescent="0.15">
      <c r="B32" s="22" t="s">
        <v>41</v>
      </c>
      <c r="C32" s="122"/>
      <c r="D32" s="122"/>
      <c r="E32" s="122"/>
      <c r="F32" s="122"/>
      <c r="G32" s="122"/>
      <c r="H32" s="122"/>
      <c r="I32" s="122"/>
      <c r="J32" s="16"/>
      <c r="K32" s="16"/>
      <c r="M32" s="17"/>
      <c r="N32" s="35"/>
      <c r="O32" s="35"/>
      <c r="P32" s="35"/>
      <c r="Q32" s="35"/>
      <c r="R32" s="18"/>
      <c r="S32" s="18"/>
    </row>
    <row r="33" spans="1:19" x14ac:dyDescent="0.15">
      <c r="B33" s="22" t="s">
        <v>42</v>
      </c>
      <c r="C33" s="48">
        <v>41200</v>
      </c>
      <c r="D33" s="48">
        <f>MROUND(C33*0.97,100)</f>
        <v>40000</v>
      </c>
      <c r="E33" s="48">
        <f>MROUND(C33*0.94,100)</f>
        <v>38700</v>
      </c>
      <c r="F33" s="36">
        <f>MROUND(C33*0.75,100)</f>
        <v>30900</v>
      </c>
      <c r="G33" s="36">
        <f>MROUND(C33*1.25,100)</f>
        <v>51500</v>
      </c>
      <c r="H33" s="36">
        <f>MROUND(E33*0.75,100)</f>
        <v>29000</v>
      </c>
      <c r="I33" s="36">
        <f>MROUND(E33*1.25,100)</f>
        <v>48400</v>
      </c>
      <c r="J33" s="16" t="s">
        <v>142</v>
      </c>
      <c r="K33" s="50" t="s">
        <v>302</v>
      </c>
      <c r="M33" s="17"/>
      <c r="N33" s="35"/>
      <c r="O33" s="35"/>
      <c r="P33" s="35"/>
      <c r="Q33" s="35"/>
      <c r="R33" s="18"/>
      <c r="S33" s="18"/>
    </row>
    <row r="34" spans="1:19" x14ac:dyDescent="0.15">
      <c r="B34" s="22" t="s">
        <v>45</v>
      </c>
      <c r="C34" s="58">
        <v>0.12</v>
      </c>
      <c r="D34" s="49">
        <f>C34*0.97</f>
        <v>0.11639999999999999</v>
      </c>
      <c r="E34" s="49">
        <f>C34*0.94</f>
        <v>0.11279999999999998</v>
      </c>
      <c r="F34" s="51">
        <f>C34*0.75</f>
        <v>0.09</v>
      </c>
      <c r="G34" s="51">
        <f>C34*1.25</f>
        <v>0.15</v>
      </c>
      <c r="H34" s="51">
        <f>E34*0.75</f>
        <v>8.4599999999999981E-2</v>
      </c>
      <c r="I34" s="51">
        <f>E34*1.25</f>
        <v>0.14099999999999999</v>
      </c>
      <c r="J34" s="16" t="s">
        <v>142</v>
      </c>
      <c r="K34" s="50" t="s">
        <v>291</v>
      </c>
      <c r="M34" s="17"/>
      <c r="N34" s="35"/>
      <c r="O34" s="35"/>
      <c r="P34" s="35"/>
      <c r="Q34" s="35"/>
      <c r="R34" s="18"/>
      <c r="S34" s="18"/>
    </row>
    <row r="35" spans="1:19" x14ac:dyDescent="0.15">
      <c r="B35" s="22" t="s">
        <v>46</v>
      </c>
      <c r="C35" s="36">
        <v>50</v>
      </c>
      <c r="D35" s="36">
        <v>50</v>
      </c>
      <c r="E35" s="36">
        <v>50</v>
      </c>
      <c r="F35" s="36">
        <v>40</v>
      </c>
      <c r="G35" s="36">
        <v>100</v>
      </c>
      <c r="H35" s="36">
        <v>40</v>
      </c>
      <c r="I35" s="36">
        <v>100</v>
      </c>
      <c r="J35" s="16"/>
      <c r="K35" s="50" t="s">
        <v>292</v>
      </c>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row>
    <row r="39" spans="1:19" x14ac:dyDescent="0.15">
      <c r="A39" s="53">
        <v>2</v>
      </c>
      <c r="B39" s="53" t="s">
        <v>293</v>
      </c>
    </row>
    <row r="40" spans="1:19" x14ac:dyDescent="0.15">
      <c r="A40" s="53">
        <v>3</v>
      </c>
      <c r="B40" s="53" t="s">
        <v>54</v>
      </c>
    </row>
    <row r="41" spans="1:19" x14ac:dyDescent="0.15">
      <c r="A41" s="53">
        <v>4</v>
      </c>
      <c r="B41" s="53" t="s">
        <v>294</v>
      </c>
    </row>
    <row r="42" spans="1:19" x14ac:dyDescent="0.15">
      <c r="A42" s="53">
        <v>5</v>
      </c>
      <c r="B42" s="53" t="s">
        <v>269</v>
      </c>
    </row>
    <row r="43" spans="1:19" x14ac:dyDescent="0.15">
      <c r="A43" s="53">
        <v>6</v>
      </c>
      <c r="B43" s="53" t="s">
        <v>89</v>
      </c>
    </row>
    <row r="44" spans="1:19" x14ac:dyDescent="0.15">
      <c r="A44" s="53">
        <v>7</v>
      </c>
      <c r="B44" s="53" t="s">
        <v>52</v>
      </c>
    </row>
    <row r="45" spans="1:19" x14ac:dyDescent="0.15">
      <c r="A45" s="3" t="s">
        <v>59</v>
      </c>
    </row>
    <row r="46" spans="1:19" x14ac:dyDescent="0.15">
      <c r="A46" s="52" t="s">
        <v>13</v>
      </c>
      <c r="B46" s="53" t="s">
        <v>295</v>
      </c>
      <c r="C46" s="53"/>
      <c r="D46" s="53"/>
      <c r="E46" s="53"/>
      <c r="F46" s="53"/>
      <c r="G46" s="53"/>
      <c r="H46" s="53"/>
      <c r="I46" s="53"/>
      <c r="J46" s="53"/>
      <c r="K46" s="53"/>
    </row>
    <row r="47" spans="1:19" x14ac:dyDescent="0.15">
      <c r="A47" s="52" t="s">
        <v>61</v>
      </c>
      <c r="B47" s="53" t="s">
        <v>296</v>
      </c>
      <c r="C47" s="53"/>
      <c r="D47" s="53"/>
      <c r="E47" s="53"/>
      <c r="F47" s="53"/>
      <c r="G47" s="53"/>
      <c r="H47" s="53"/>
      <c r="I47" s="53"/>
      <c r="J47" s="53"/>
      <c r="K47" s="53"/>
    </row>
    <row r="48" spans="1:19" x14ac:dyDescent="0.15">
      <c r="A48" s="52" t="s">
        <v>32</v>
      </c>
      <c r="B48" s="255" t="s">
        <v>297</v>
      </c>
      <c r="C48" s="255"/>
      <c r="D48" s="255"/>
      <c r="E48" s="255"/>
      <c r="F48" s="255"/>
      <c r="G48" s="255"/>
      <c r="H48" s="255"/>
      <c r="I48" s="255"/>
      <c r="J48" s="255"/>
      <c r="K48" s="255"/>
    </row>
    <row r="49" spans="1:11" x14ac:dyDescent="0.15">
      <c r="A49" s="52" t="s">
        <v>64</v>
      </c>
      <c r="B49" s="53" t="s">
        <v>298</v>
      </c>
      <c r="C49" s="53"/>
      <c r="D49" s="53"/>
      <c r="E49" s="53"/>
      <c r="F49" s="53"/>
      <c r="G49" s="53"/>
      <c r="H49" s="53"/>
      <c r="I49" s="53"/>
      <c r="J49" s="53"/>
      <c r="K49" s="53"/>
    </row>
    <row r="50" spans="1:11" x14ac:dyDescent="0.15">
      <c r="A50" s="52" t="s">
        <v>66</v>
      </c>
      <c r="B50" s="53" t="s">
        <v>304</v>
      </c>
      <c r="C50" s="53"/>
      <c r="D50" s="53"/>
      <c r="E50" s="53"/>
      <c r="F50" s="53"/>
      <c r="G50" s="53"/>
      <c r="H50" s="53"/>
      <c r="I50" s="53"/>
      <c r="J50" s="53"/>
      <c r="K50" s="53"/>
    </row>
    <row r="51" spans="1:11" x14ac:dyDescent="0.15">
      <c r="A51" s="52" t="s">
        <v>77</v>
      </c>
      <c r="B51" s="53" t="s">
        <v>300</v>
      </c>
      <c r="C51" s="53"/>
      <c r="D51" s="53"/>
      <c r="E51" s="53"/>
      <c r="F51" s="53"/>
      <c r="G51" s="53"/>
      <c r="H51" s="53"/>
      <c r="I51" s="53"/>
      <c r="J51" s="53"/>
      <c r="K51" s="53"/>
    </row>
    <row r="52" spans="1:11" x14ac:dyDescent="0.15">
      <c r="A52" s="52" t="s">
        <v>142</v>
      </c>
      <c r="B52" s="53" t="s">
        <v>75</v>
      </c>
      <c r="C52" s="53"/>
      <c r="D52" s="53"/>
      <c r="E52" s="53"/>
      <c r="F52" s="53"/>
      <c r="G52" s="53"/>
      <c r="H52" s="53"/>
      <c r="I52" s="53"/>
      <c r="J52" s="53"/>
      <c r="K52" s="53"/>
    </row>
    <row r="53" spans="1:11" x14ac:dyDescent="0.15">
      <c r="A53" s="52" t="s">
        <v>144</v>
      </c>
      <c r="B53" s="53" t="s">
        <v>76</v>
      </c>
      <c r="C53" s="53"/>
      <c r="D53" s="53"/>
      <c r="E53" s="53"/>
      <c r="F53" s="53"/>
      <c r="G53" s="53"/>
      <c r="H53" s="53"/>
      <c r="I53" s="53"/>
      <c r="J53" s="53"/>
      <c r="K53" s="53"/>
    </row>
  </sheetData>
  <mergeCells count="10">
    <mergeCell ref="M23:S23"/>
    <mergeCell ref="M28:S28"/>
    <mergeCell ref="M35:S35"/>
    <mergeCell ref="B48:K48"/>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85A2-B10F-455F-B8CE-EBEB747081E9}">
  <sheetPr>
    <tabColor theme="0" tint="-0.499984740745262"/>
  </sheetPr>
  <dimension ref="A1:S53"/>
  <sheetViews>
    <sheetView zoomScale="70" zoomScaleNormal="70" zoomScaleSheetLayoutView="120" workbookViewId="0">
      <selection activeCell="W62" sqref="W62"/>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305</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1000</v>
      </c>
      <c r="D6" s="47">
        <v>1000</v>
      </c>
      <c r="E6" s="47">
        <v>1000</v>
      </c>
      <c r="F6" s="47">
        <v>700</v>
      </c>
      <c r="G6" s="47">
        <v>1200</v>
      </c>
      <c r="H6" s="47">
        <v>700</v>
      </c>
      <c r="I6" s="47">
        <v>1200</v>
      </c>
      <c r="J6" s="15"/>
      <c r="K6" s="50" t="s">
        <v>133</v>
      </c>
      <c r="M6" s="17"/>
      <c r="N6" s="253"/>
      <c r="O6" s="254"/>
      <c r="P6" s="254"/>
      <c r="Q6" s="254"/>
      <c r="R6" s="254"/>
      <c r="S6" s="254"/>
    </row>
    <row r="7" spans="2:19" ht="15" customHeight="1" x14ac:dyDescent="0.15">
      <c r="B7" s="13" t="s">
        <v>11</v>
      </c>
      <c r="C7" s="47">
        <v>1000</v>
      </c>
      <c r="D7" s="47">
        <v>1000</v>
      </c>
      <c r="E7" s="47">
        <v>1000</v>
      </c>
      <c r="F7" s="47">
        <v>700</v>
      </c>
      <c r="G7" s="47">
        <v>1200</v>
      </c>
      <c r="H7" s="47">
        <v>700</v>
      </c>
      <c r="I7" s="47">
        <v>1200</v>
      </c>
      <c r="J7" s="15"/>
      <c r="K7" s="50" t="s">
        <v>133</v>
      </c>
      <c r="M7" s="17"/>
      <c r="N7" s="60"/>
      <c r="O7" s="61"/>
      <c r="P7" s="61"/>
      <c r="Q7" s="61"/>
      <c r="R7" s="61"/>
      <c r="S7" s="61"/>
    </row>
    <row r="8" spans="2:19" x14ac:dyDescent="0.15">
      <c r="B8" s="13" t="s">
        <v>12</v>
      </c>
      <c r="C8" s="57">
        <v>42.5</v>
      </c>
      <c r="D8" s="47">
        <f>C8*1.03</f>
        <v>43.774999999999999</v>
      </c>
      <c r="E8" s="47">
        <f>C8*1.06</f>
        <v>45.050000000000004</v>
      </c>
      <c r="F8" s="48">
        <v>40</v>
      </c>
      <c r="G8" s="48">
        <v>45</v>
      </c>
      <c r="H8" s="48">
        <v>42</v>
      </c>
      <c r="I8" s="48">
        <v>47</v>
      </c>
      <c r="J8" s="15"/>
      <c r="K8" s="46" t="s">
        <v>302</v>
      </c>
      <c r="M8" s="17"/>
      <c r="N8" s="18"/>
      <c r="O8" s="18"/>
      <c r="P8" s="18"/>
      <c r="Q8" s="18"/>
      <c r="R8" s="18"/>
      <c r="S8" s="18"/>
    </row>
    <row r="9" spans="2:19" x14ac:dyDescent="0.15">
      <c r="B9" s="19" t="s">
        <v>14</v>
      </c>
      <c r="C9" s="48">
        <f>C8-1</f>
        <v>41.5</v>
      </c>
      <c r="D9" s="47">
        <f>C9*1.03</f>
        <v>42.745000000000005</v>
      </c>
      <c r="E9" s="47">
        <f>C9*1.06</f>
        <v>43.99</v>
      </c>
      <c r="F9" s="48">
        <v>40</v>
      </c>
      <c r="G9" s="48">
        <v>45</v>
      </c>
      <c r="H9" s="48">
        <v>42</v>
      </c>
      <c r="I9" s="48">
        <v>47</v>
      </c>
      <c r="J9" s="20"/>
      <c r="K9" s="66" t="s">
        <v>291</v>
      </c>
      <c r="M9" s="17"/>
      <c r="N9" s="18"/>
      <c r="O9" s="18"/>
      <c r="P9" s="18"/>
      <c r="Q9" s="18"/>
      <c r="R9" s="18"/>
      <c r="S9" s="18"/>
    </row>
    <row r="10" spans="2:19" x14ac:dyDescent="0.15">
      <c r="B10" s="13" t="s">
        <v>15</v>
      </c>
      <c r="C10" s="48">
        <v>7</v>
      </c>
      <c r="D10" s="48">
        <v>6</v>
      </c>
      <c r="E10" s="48">
        <v>3</v>
      </c>
      <c r="F10" s="47">
        <v>5</v>
      </c>
      <c r="G10" s="47">
        <v>15</v>
      </c>
      <c r="H10" s="47">
        <v>2</v>
      </c>
      <c r="I10" s="47">
        <v>7</v>
      </c>
      <c r="J10" s="15" t="s">
        <v>13</v>
      </c>
      <c r="K10" s="50" t="s">
        <v>133</v>
      </c>
      <c r="M10" s="1"/>
      <c r="N10" s="21"/>
      <c r="O10" s="21"/>
      <c r="P10" s="21"/>
      <c r="Q10" s="21"/>
      <c r="R10" s="21"/>
      <c r="S10" s="18"/>
    </row>
    <row r="11" spans="2:19" x14ac:dyDescent="0.15">
      <c r="B11" s="22" t="s">
        <v>16</v>
      </c>
      <c r="C11" s="48">
        <v>7</v>
      </c>
      <c r="D11" s="48">
        <v>5</v>
      </c>
      <c r="E11" s="48">
        <v>3</v>
      </c>
      <c r="F11" s="47">
        <v>3</v>
      </c>
      <c r="G11" s="47">
        <v>8</v>
      </c>
      <c r="H11" s="47">
        <v>2</v>
      </c>
      <c r="I11" s="47">
        <v>4</v>
      </c>
      <c r="J11" s="15" t="s">
        <v>13</v>
      </c>
      <c r="K11" s="50" t="s">
        <v>133</v>
      </c>
      <c r="M11" s="1"/>
      <c r="N11" s="21"/>
      <c r="O11" s="21"/>
      <c r="P11" s="21"/>
      <c r="Q11" s="21"/>
      <c r="R11" s="21"/>
      <c r="S11" s="18"/>
    </row>
    <row r="12" spans="2:19" x14ac:dyDescent="0.15">
      <c r="B12" s="22" t="s">
        <v>17</v>
      </c>
      <c r="C12" s="48">
        <v>30</v>
      </c>
      <c r="D12" s="48">
        <v>30</v>
      </c>
      <c r="E12" s="48">
        <v>30</v>
      </c>
      <c r="F12" s="47">
        <v>25</v>
      </c>
      <c r="G12" s="47">
        <v>40</v>
      </c>
      <c r="H12" s="47">
        <v>25</v>
      </c>
      <c r="I12" s="47">
        <v>40</v>
      </c>
      <c r="J12" s="15"/>
      <c r="K12" s="50" t="s">
        <v>133</v>
      </c>
      <c r="M12" s="17"/>
      <c r="N12" s="18"/>
      <c r="O12" s="18"/>
      <c r="P12" s="18"/>
      <c r="Q12" s="18"/>
      <c r="R12" s="18"/>
      <c r="S12" s="18"/>
    </row>
    <row r="13" spans="2:19" x14ac:dyDescent="0.15">
      <c r="B13" s="22" t="s">
        <v>18</v>
      </c>
      <c r="C13" s="57">
        <v>4.33</v>
      </c>
      <c r="D13" s="57">
        <v>3</v>
      </c>
      <c r="E13" s="57">
        <v>3</v>
      </c>
      <c r="F13" s="15">
        <v>3</v>
      </c>
      <c r="G13" s="15">
        <v>5</v>
      </c>
      <c r="H13" s="15">
        <v>2</v>
      </c>
      <c r="I13" s="47">
        <v>4</v>
      </c>
      <c r="J13" s="15" t="s">
        <v>13</v>
      </c>
      <c r="K13" s="50" t="s">
        <v>133</v>
      </c>
      <c r="M13" s="17"/>
      <c r="N13" s="18"/>
      <c r="O13" s="18"/>
      <c r="P13" s="18"/>
      <c r="Q13" s="18"/>
      <c r="R13" s="18"/>
      <c r="S13" s="18"/>
    </row>
    <row r="14" spans="2:19" x14ac:dyDescent="0.15">
      <c r="B14" s="23" t="s">
        <v>20</v>
      </c>
      <c r="C14" s="48" t="s">
        <v>31</v>
      </c>
      <c r="D14" s="46" t="s">
        <v>253</v>
      </c>
      <c r="E14" s="46" t="s">
        <v>253</v>
      </c>
      <c r="F14" s="46" t="s">
        <v>253</v>
      </c>
      <c r="G14" s="46" t="s">
        <v>253</v>
      </c>
      <c r="H14" s="46" t="s">
        <v>253</v>
      </c>
      <c r="I14" s="46" t="s">
        <v>253</v>
      </c>
      <c r="J14" s="16"/>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254</v>
      </c>
      <c r="C18" s="25"/>
      <c r="D18" s="25"/>
      <c r="E18" s="25"/>
      <c r="F18" s="25"/>
      <c r="G18" s="25"/>
      <c r="H18" s="25"/>
      <c r="I18" s="26"/>
      <c r="J18" s="26"/>
      <c r="K18" s="27"/>
      <c r="M18" s="17"/>
      <c r="N18" s="18"/>
      <c r="O18" s="18"/>
      <c r="P18" s="18"/>
      <c r="Q18" s="18"/>
      <c r="R18" s="18"/>
      <c r="S18" s="18"/>
    </row>
    <row r="19" spans="2:19" x14ac:dyDescent="0.15">
      <c r="B19" s="22" t="s">
        <v>25</v>
      </c>
      <c r="C19" s="48">
        <v>5</v>
      </c>
      <c r="D19" s="48">
        <v>5</v>
      </c>
      <c r="E19" s="48">
        <v>5</v>
      </c>
      <c r="F19" s="15">
        <v>4</v>
      </c>
      <c r="G19" s="15">
        <v>5</v>
      </c>
      <c r="H19" s="15">
        <v>4</v>
      </c>
      <c r="I19" s="15">
        <v>5</v>
      </c>
      <c r="J19" s="16" t="s">
        <v>61</v>
      </c>
      <c r="K19" s="50" t="s">
        <v>133</v>
      </c>
      <c r="L19" s="3"/>
      <c r="M19" s="17"/>
      <c r="N19" s="18"/>
      <c r="O19" s="18"/>
      <c r="P19" s="18"/>
      <c r="Q19" s="18"/>
      <c r="R19" s="18"/>
      <c r="S19" s="18"/>
    </row>
    <row r="20" spans="2:19" x14ac:dyDescent="0.15">
      <c r="B20" s="22" t="s">
        <v>26</v>
      </c>
      <c r="C20" s="48">
        <v>30</v>
      </c>
      <c r="D20" s="47">
        <v>25</v>
      </c>
      <c r="E20" s="47">
        <v>20</v>
      </c>
      <c r="F20" s="15">
        <v>25</v>
      </c>
      <c r="G20" s="15">
        <v>50</v>
      </c>
      <c r="H20" s="15">
        <v>10</v>
      </c>
      <c r="I20" s="15">
        <v>30</v>
      </c>
      <c r="J20" s="16" t="s">
        <v>13</v>
      </c>
      <c r="K20" s="50" t="s">
        <v>133</v>
      </c>
      <c r="M20" s="17"/>
      <c r="N20" s="18"/>
      <c r="O20" s="18"/>
      <c r="P20" s="18"/>
      <c r="Q20" s="18"/>
      <c r="R20" s="18"/>
      <c r="S20" s="18"/>
    </row>
    <row r="21" spans="2:19" x14ac:dyDescent="0.15">
      <c r="B21" s="22" t="s">
        <v>27</v>
      </c>
      <c r="C21" s="48">
        <v>4</v>
      </c>
      <c r="D21" s="48">
        <v>4</v>
      </c>
      <c r="E21" s="48">
        <v>4</v>
      </c>
      <c r="F21" s="15">
        <v>2</v>
      </c>
      <c r="G21" s="15">
        <v>5</v>
      </c>
      <c r="H21" s="15">
        <v>2</v>
      </c>
      <c r="I21" s="15">
        <v>5</v>
      </c>
      <c r="J21" s="16" t="s">
        <v>61</v>
      </c>
      <c r="K21" s="50" t="s">
        <v>133</v>
      </c>
      <c r="M21" s="17"/>
      <c r="N21" s="18"/>
      <c r="O21" s="18"/>
      <c r="P21" s="18"/>
      <c r="Q21" s="18"/>
      <c r="R21" s="18"/>
      <c r="S21" s="18"/>
    </row>
    <row r="22" spans="2:19" x14ac:dyDescent="0.15">
      <c r="B22" s="22" t="s">
        <v>28</v>
      </c>
      <c r="C22" s="48">
        <v>12</v>
      </c>
      <c r="D22" s="48">
        <v>12</v>
      </c>
      <c r="E22" s="48">
        <v>12</v>
      </c>
      <c r="F22" s="15">
        <v>6</v>
      </c>
      <c r="G22" s="15">
        <v>15</v>
      </c>
      <c r="H22" s="15">
        <v>6</v>
      </c>
      <c r="I22" s="15">
        <v>12</v>
      </c>
      <c r="J22" s="16" t="s">
        <v>61</v>
      </c>
      <c r="K22" s="50" t="s">
        <v>133</v>
      </c>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31">
        <v>150</v>
      </c>
      <c r="D24" s="31">
        <v>100</v>
      </c>
      <c r="E24" s="31">
        <v>100</v>
      </c>
      <c r="F24" s="31">
        <v>50</v>
      </c>
      <c r="G24" s="31">
        <v>150</v>
      </c>
      <c r="H24" s="31">
        <v>20</v>
      </c>
      <c r="I24" s="31">
        <v>100</v>
      </c>
      <c r="J24" s="30" t="s">
        <v>77</v>
      </c>
      <c r="K24" s="50" t="s">
        <v>287</v>
      </c>
      <c r="M24" s="17"/>
      <c r="N24" s="18"/>
      <c r="O24" s="18"/>
      <c r="P24" s="18"/>
      <c r="Q24" s="18"/>
      <c r="R24" s="18"/>
      <c r="S24" s="18"/>
    </row>
    <row r="25" spans="2:19" x14ac:dyDescent="0.15">
      <c r="B25" s="22" t="s">
        <v>33</v>
      </c>
      <c r="C25" s="31">
        <v>73</v>
      </c>
      <c r="D25" s="31">
        <v>73</v>
      </c>
      <c r="E25" s="31">
        <v>73</v>
      </c>
      <c r="F25" s="31">
        <v>73</v>
      </c>
      <c r="G25" s="31">
        <v>95</v>
      </c>
      <c r="H25" s="31">
        <v>73</v>
      </c>
      <c r="I25" s="31">
        <v>95</v>
      </c>
      <c r="J25" s="30" t="s">
        <v>71</v>
      </c>
      <c r="K25" s="50" t="s">
        <v>287</v>
      </c>
      <c r="M25" s="17"/>
      <c r="N25" s="18"/>
      <c r="O25" s="18"/>
      <c r="P25" s="18"/>
      <c r="Q25" s="18"/>
      <c r="R25" s="18"/>
      <c r="S25" s="18"/>
    </row>
    <row r="26" spans="2:19" ht="15" customHeight="1" x14ac:dyDescent="0.15">
      <c r="B26" s="22" t="s">
        <v>34</v>
      </c>
      <c r="C26" s="31">
        <f>750*0.35</f>
        <v>262.5</v>
      </c>
      <c r="D26" s="31">
        <f t="shared" ref="D26:I26" si="0">750*0.35</f>
        <v>262.5</v>
      </c>
      <c r="E26" s="31">
        <f t="shared" si="0"/>
        <v>262.5</v>
      </c>
      <c r="F26" s="31">
        <f t="shared" si="0"/>
        <v>262.5</v>
      </c>
      <c r="G26" s="31">
        <f t="shared" si="0"/>
        <v>262.5</v>
      </c>
      <c r="H26" s="31">
        <f t="shared" si="0"/>
        <v>262.5</v>
      </c>
      <c r="I26" s="31">
        <f t="shared" si="0"/>
        <v>262.5</v>
      </c>
      <c r="J26" s="32" t="s">
        <v>64</v>
      </c>
      <c r="K26" s="50" t="s">
        <v>287</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c r="K27" s="16"/>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58">
        <v>1.5247999999999999</v>
      </c>
      <c r="D30" s="49">
        <f>C30*0.97</f>
        <v>1.4790559999999999</v>
      </c>
      <c r="E30" s="49">
        <f>C30*0.94</f>
        <v>1.4333119999999999</v>
      </c>
      <c r="F30" s="51">
        <f>C30*0.75</f>
        <v>1.1435999999999999</v>
      </c>
      <c r="G30" s="51">
        <f>C30*1.25</f>
        <v>1.9059999999999999</v>
      </c>
      <c r="H30" s="51">
        <f>E30*0.75</f>
        <v>1.0749839999999999</v>
      </c>
      <c r="I30" s="51">
        <f>E30*1.25</f>
        <v>1.7916399999999999</v>
      </c>
      <c r="J30" s="16" t="s">
        <v>303</v>
      </c>
      <c r="K30" s="50" t="s">
        <v>302</v>
      </c>
      <c r="M30" s="17"/>
      <c r="N30" s="35"/>
      <c r="O30" s="35"/>
      <c r="P30" s="35"/>
      <c r="Q30" s="35"/>
      <c r="R30" s="18"/>
      <c r="S30" s="18"/>
    </row>
    <row r="31" spans="2:19" x14ac:dyDescent="0.15">
      <c r="B31" s="22" t="s">
        <v>40</v>
      </c>
      <c r="C31" s="122"/>
      <c r="D31" s="122"/>
      <c r="E31" s="122"/>
      <c r="F31" s="122"/>
      <c r="G31" s="122"/>
      <c r="H31" s="122"/>
      <c r="I31" s="122"/>
      <c r="J31" s="16"/>
      <c r="K31" s="16"/>
      <c r="M31" s="17"/>
      <c r="N31" s="35"/>
      <c r="O31" s="35"/>
      <c r="P31" s="35"/>
      <c r="Q31" s="35"/>
      <c r="R31" s="18"/>
      <c r="S31" s="18"/>
    </row>
    <row r="32" spans="2:19" x14ac:dyDescent="0.15">
      <c r="B32" s="22" t="s">
        <v>41</v>
      </c>
      <c r="C32" s="122"/>
      <c r="D32" s="122"/>
      <c r="E32" s="122"/>
      <c r="F32" s="122"/>
      <c r="G32" s="122"/>
      <c r="H32" s="122"/>
      <c r="I32" s="122"/>
      <c r="J32" s="16"/>
      <c r="K32" s="16"/>
      <c r="M32" s="17"/>
      <c r="N32" s="35"/>
      <c r="O32" s="35"/>
      <c r="P32" s="35"/>
      <c r="Q32" s="35"/>
      <c r="R32" s="18"/>
      <c r="S32" s="18"/>
    </row>
    <row r="33" spans="1:19" x14ac:dyDescent="0.15">
      <c r="B33" s="22" t="s">
        <v>42</v>
      </c>
      <c r="C33" s="48">
        <v>56600</v>
      </c>
      <c r="D33" s="48">
        <f>MROUND(C33*0.97,100)</f>
        <v>54900</v>
      </c>
      <c r="E33" s="48">
        <f>MROUND(C33*0.94,100)</f>
        <v>53200</v>
      </c>
      <c r="F33" s="36">
        <f>MROUND(C33*0.75,100)</f>
        <v>42500</v>
      </c>
      <c r="G33" s="36">
        <f>MROUND(C33*1.25,100)</f>
        <v>70800</v>
      </c>
      <c r="H33" s="36">
        <f>MROUND(E33*0.75,100)</f>
        <v>39900</v>
      </c>
      <c r="I33" s="36">
        <f>MROUND(E33*1.25,100)</f>
        <v>66500</v>
      </c>
      <c r="J33" s="16" t="s">
        <v>142</v>
      </c>
      <c r="K33" s="50" t="s">
        <v>302</v>
      </c>
      <c r="M33" s="17"/>
      <c r="N33" s="35"/>
      <c r="O33" s="35"/>
      <c r="P33" s="35"/>
      <c r="Q33" s="35"/>
      <c r="R33" s="18"/>
      <c r="S33" s="18"/>
    </row>
    <row r="34" spans="1:19" x14ac:dyDescent="0.15">
      <c r="B34" s="22" t="s">
        <v>45</v>
      </c>
      <c r="C34" s="58">
        <v>0.11</v>
      </c>
      <c r="D34" s="49">
        <f>C34*0.97</f>
        <v>0.1067</v>
      </c>
      <c r="E34" s="49">
        <f>C34*0.94</f>
        <v>0.10339999999999999</v>
      </c>
      <c r="F34" s="51">
        <f>C34*0.75</f>
        <v>8.2500000000000004E-2</v>
      </c>
      <c r="G34" s="51">
        <f>C34*1.25</f>
        <v>0.13750000000000001</v>
      </c>
      <c r="H34" s="51">
        <f>E34*0.75</f>
        <v>7.7549999999999994E-2</v>
      </c>
      <c r="I34" s="51">
        <f>E34*1.25</f>
        <v>0.12924999999999998</v>
      </c>
      <c r="J34" s="16" t="s">
        <v>142</v>
      </c>
      <c r="K34" s="50" t="s">
        <v>291</v>
      </c>
      <c r="M34" s="17"/>
      <c r="N34" s="35"/>
      <c r="O34" s="35"/>
      <c r="P34" s="35"/>
      <c r="Q34" s="35"/>
      <c r="R34" s="18"/>
      <c r="S34" s="18"/>
    </row>
    <row r="35" spans="1:19" x14ac:dyDescent="0.15">
      <c r="B35" s="22" t="s">
        <v>46</v>
      </c>
      <c r="C35" s="36">
        <v>50</v>
      </c>
      <c r="D35" s="36">
        <v>50</v>
      </c>
      <c r="E35" s="36">
        <v>50</v>
      </c>
      <c r="F35" s="36">
        <v>40</v>
      </c>
      <c r="G35" s="36">
        <v>100</v>
      </c>
      <c r="H35" s="36">
        <v>40</v>
      </c>
      <c r="I35" s="36">
        <v>100</v>
      </c>
      <c r="J35" s="16"/>
      <c r="K35" s="50" t="s">
        <v>292</v>
      </c>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row>
    <row r="39" spans="1:19" x14ac:dyDescent="0.15">
      <c r="A39" s="53">
        <v>2</v>
      </c>
      <c r="B39" s="53" t="s">
        <v>293</v>
      </c>
    </row>
    <row r="40" spans="1:19" x14ac:dyDescent="0.15">
      <c r="A40" s="53">
        <v>3</v>
      </c>
      <c r="B40" s="53" t="s">
        <v>54</v>
      </c>
    </row>
    <row r="41" spans="1:19" x14ac:dyDescent="0.15">
      <c r="A41" s="53">
        <v>4</v>
      </c>
      <c r="B41" s="53" t="s">
        <v>294</v>
      </c>
    </row>
    <row r="42" spans="1:19" s="1" customFormat="1" x14ac:dyDescent="0.15">
      <c r="A42" s="53">
        <v>5</v>
      </c>
      <c r="B42" s="53" t="s">
        <v>269</v>
      </c>
      <c r="M42" s="4"/>
      <c r="N42" s="4"/>
      <c r="O42" s="4"/>
      <c r="P42" s="4"/>
      <c r="Q42" s="4"/>
      <c r="R42" s="4"/>
      <c r="S42" s="4"/>
    </row>
    <row r="43" spans="1:19" s="1" customFormat="1" x14ac:dyDescent="0.15">
      <c r="A43" s="53">
        <v>6</v>
      </c>
      <c r="B43" s="53" t="s">
        <v>89</v>
      </c>
      <c r="M43" s="4"/>
      <c r="N43" s="4"/>
      <c r="O43" s="4"/>
      <c r="P43" s="4"/>
      <c r="Q43" s="4"/>
      <c r="R43" s="4"/>
      <c r="S43" s="4"/>
    </row>
    <row r="44" spans="1:19" x14ac:dyDescent="0.15">
      <c r="A44" s="53">
        <v>7</v>
      </c>
      <c r="B44" s="53" t="s">
        <v>52</v>
      </c>
    </row>
    <row r="45" spans="1:19" s="1" customFormat="1" x14ac:dyDescent="0.15">
      <c r="A45" s="3" t="s">
        <v>59</v>
      </c>
      <c r="M45" s="4"/>
      <c r="N45" s="4"/>
      <c r="O45" s="4"/>
      <c r="P45" s="4"/>
      <c r="Q45" s="4"/>
      <c r="R45" s="4"/>
      <c r="S45" s="4"/>
    </row>
    <row r="46" spans="1:19" s="1" customFormat="1" x14ac:dyDescent="0.15">
      <c r="A46" s="52" t="s">
        <v>13</v>
      </c>
      <c r="B46" s="53" t="s">
        <v>295</v>
      </c>
      <c r="C46" s="53"/>
      <c r="D46" s="53"/>
      <c r="E46" s="53"/>
      <c r="F46" s="53"/>
      <c r="G46" s="53"/>
      <c r="H46" s="53"/>
      <c r="I46" s="53"/>
      <c r="J46" s="53"/>
      <c r="K46" s="53"/>
      <c r="M46" s="4"/>
      <c r="N46" s="4"/>
      <c r="O46" s="4"/>
      <c r="P46" s="4"/>
      <c r="Q46" s="4"/>
      <c r="R46" s="4"/>
      <c r="S46" s="4"/>
    </row>
    <row r="47" spans="1:19" s="1" customFormat="1" x14ac:dyDescent="0.15">
      <c r="A47" s="52" t="s">
        <v>61</v>
      </c>
      <c r="B47" s="53" t="s">
        <v>296</v>
      </c>
      <c r="C47" s="53"/>
      <c r="D47" s="53"/>
      <c r="E47" s="53"/>
      <c r="F47" s="53"/>
      <c r="G47" s="53"/>
      <c r="H47" s="53"/>
      <c r="I47" s="53"/>
      <c r="J47" s="53"/>
      <c r="K47" s="53"/>
      <c r="M47" s="4"/>
      <c r="N47" s="4"/>
      <c r="O47" s="4"/>
      <c r="P47" s="4"/>
      <c r="Q47" s="4"/>
      <c r="R47" s="4"/>
      <c r="S47" s="4"/>
    </row>
    <row r="48" spans="1:19" s="1" customFormat="1" x14ac:dyDescent="0.15">
      <c r="A48" s="52" t="s">
        <v>32</v>
      </c>
      <c r="B48" s="255" t="s">
        <v>297</v>
      </c>
      <c r="C48" s="255"/>
      <c r="D48" s="255"/>
      <c r="E48" s="255"/>
      <c r="F48" s="255"/>
      <c r="G48" s="255"/>
      <c r="H48" s="255"/>
      <c r="I48" s="255"/>
      <c r="J48" s="255"/>
      <c r="K48" s="255"/>
      <c r="M48" s="4"/>
      <c r="N48" s="4"/>
      <c r="O48" s="4"/>
      <c r="P48" s="4"/>
      <c r="Q48" s="4"/>
      <c r="R48" s="4"/>
      <c r="S48" s="4"/>
    </row>
    <row r="49" spans="1:19" s="1" customFormat="1" x14ac:dyDescent="0.15">
      <c r="A49" s="52" t="s">
        <v>64</v>
      </c>
      <c r="B49" s="53" t="s">
        <v>298</v>
      </c>
      <c r="C49" s="53"/>
      <c r="D49" s="53"/>
      <c r="E49" s="53"/>
      <c r="F49" s="53"/>
      <c r="G49" s="53"/>
      <c r="H49" s="53"/>
      <c r="I49" s="53"/>
      <c r="J49" s="53"/>
      <c r="K49" s="53"/>
      <c r="M49" s="4"/>
      <c r="N49" s="4"/>
      <c r="O49" s="4"/>
      <c r="P49" s="4"/>
      <c r="Q49" s="4"/>
      <c r="R49" s="4"/>
      <c r="S49" s="4"/>
    </row>
    <row r="50" spans="1:19" s="1" customFormat="1" x14ac:dyDescent="0.15">
      <c r="A50" s="52" t="s">
        <v>66</v>
      </c>
      <c r="B50" s="53" t="s">
        <v>304</v>
      </c>
      <c r="C50" s="53"/>
      <c r="D50" s="53"/>
      <c r="E50" s="53"/>
      <c r="F50" s="53"/>
      <c r="G50" s="53"/>
      <c r="H50" s="53"/>
      <c r="I50" s="53"/>
      <c r="J50" s="53"/>
      <c r="K50" s="53"/>
      <c r="M50" s="4"/>
      <c r="N50" s="4"/>
      <c r="O50" s="4"/>
      <c r="P50" s="4"/>
      <c r="Q50" s="4"/>
      <c r="R50" s="4"/>
      <c r="S50" s="4"/>
    </row>
    <row r="51" spans="1:19" s="1" customFormat="1" x14ac:dyDescent="0.15">
      <c r="A51" s="52" t="s">
        <v>77</v>
      </c>
      <c r="B51" s="53" t="s">
        <v>300</v>
      </c>
      <c r="C51" s="53"/>
      <c r="D51" s="53"/>
      <c r="E51" s="53"/>
      <c r="F51" s="53"/>
      <c r="G51" s="53"/>
      <c r="H51" s="53"/>
      <c r="I51" s="53"/>
      <c r="J51" s="53"/>
      <c r="K51" s="53"/>
      <c r="M51" s="4"/>
      <c r="N51" s="4"/>
      <c r="O51" s="4"/>
      <c r="P51" s="4"/>
      <c r="Q51" s="4"/>
      <c r="R51" s="4"/>
      <c r="S51" s="4"/>
    </row>
    <row r="52" spans="1:19" s="1" customFormat="1" x14ac:dyDescent="0.15">
      <c r="A52" s="41" t="s">
        <v>142</v>
      </c>
      <c r="B52" s="1" t="s">
        <v>75</v>
      </c>
      <c r="M52" s="4"/>
      <c r="N52" s="4"/>
      <c r="O52" s="4"/>
      <c r="P52" s="4"/>
      <c r="Q52" s="4"/>
      <c r="R52" s="4"/>
      <c r="S52" s="4"/>
    </row>
    <row r="53" spans="1:19" x14ac:dyDescent="0.15">
      <c r="A53" s="52" t="s">
        <v>144</v>
      </c>
      <c r="B53" s="53" t="s">
        <v>76</v>
      </c>
    </row>
  </sheetData>
  <mergeCells count="10">
    <mergeCell ref="M23:S23"/>
    <mergeCell ref="M28:S28"/>
    <mergeCell ref="M35:S35"/>
    <mergeCell ref="B48:K48"/>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4822-7C71-4544-8FEE-B1E33F1611E2}">
  <sheetPr>
    <tabColor theme="3" tint="0.59999389629810485"/>
  </sheetPr>
  <dimension ref="A1:S59"/>
  <sheetViews>
    <sheetView zoomScale="73" workbookViewId="0">
      <selection activeCell="Q42" sqref="Q41:Q42"/>
    </sheetView>
  </sheetViews>
  <sheetFormatPr baseColWidth="10" defaultColWidth="9.1640625" defaultRowHeight="14" x14ac:dyDescent="0.15"/>
  <cols>
    <col min="1" max="1" width="3" style="1" customWidth="1"/>
    <col min="2" max="2" width="39.332031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250</v>
      </c>
      <c r="D3" s="256"/>
      <c r="E3" s="256"/>
      <c r="F3" s="256"/>
      <c r="G3" s="256"/>
      <c r="H3" s="256"/>
      <c r="I3" s="256"/>
      <c r="J3" s="256"/>
      <c r="K3" s="257"/>
      <c r="M3" s="63"/>
      <c r="N3" s="267"/>
      <c r="O3" s="259"/>
      <c r="P3" s="259"/>
      <c r="Q3" s="259"/>
      <c r="R3" s="259"/>
      <c r="S3" s="259"/>
    </row>
    <row r="4" spans="2:19" ht="24"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t="s">
        <v>251</v>
      </c>
      <c r="D6" s="47" t="s">
        <v>251</v>
      </c>
      <c r="E6" s="47" t="s">
        <v>251</v>
      </c>
      <c r="F6" s="47"/>
      <c r="G6" s="47"/>
      <c r="H6" s="47"/>
      <c r="I6" s="47"/>
      <c r="J6" s="15" t="s">
        <v>13</v>
      </c>
      <c r="K6" s="50"/>
      <c r="M6" s="17"/>
      <c r="N6" s="253"/>
      <c r="O6" s="254"/>
      <c r="P6" s="254"/>
      <c r="Q6" s="254"/>
      <c r="R6" s="254"/>
      <c r="S6" s="254"/>
    </row>
    <row r="7" spans="2:19" ht="15" customHeight="1" x14ac:dyDescent="0.15">
      <c r="B7" s="13" t="s">
        <v>11</v>
      </c>
      <c r="C7" s="47">
        <v>600</v>
      </c>
      <c r="D7" s="47">
        <v>600</v>
      </c>
      <c r="E7" s="47">
        <v>600</v>
      </c>
      <c r="F7" s="47"/>
      <c r="G7" s="47"/>
      <c r="H7" s="47"/>
      <c r="I7" s="47"/>
      <c r="J7" s="15" t="s">
        <v>13</v>
      </c>
      <c r="K7" s="50" t="s">
        <v>133</v>
      </c>
      <c r="M7" s="17"/>
      <c r="N7" s="60"/>
      <c r="O7" s="61"/>
      <c r="P7" s="61"/>
      <c r="Q7" s="61"/>
      <c r="R7" s="61"/>
      <c r="S7" s="61"/>
    </row>
    <row r="8" spans="2:19" x14ac:dyDescent="0.15">
      <c r="B8" s="13" t="s">
        <v>12</v>
      </c>
      <c r="C8" s="47">
        <v>42</v>
      </c>
      <c r="D8" s="47">
        <v>43</v>
      </c>
      <c r="E8" s="47">
        <v>45</v>
      </c>
      <c r="F8" s="48"/>
      <c r="G8" s="48"/>
      <c r="H8" s="48"/>
      <c r="I8" s="48"/>
      <c r="J8" s="15" t="s">
        <v>142</v>
      </c>
      <c r="K8" s="46">
        <v>1</v>
      </c>
      <c r="M8" s="17"/>
      <c r="N8" s="18"/>
      <c r="O8" s="18"/>
      <c r="P8" s="18"/>
      <c r="Q8" s="18"/>
      <c r="R8" s="18"/>
      <c r="S8" s="18"/>
    </row>
    <row r="9" spans="2:19" x14ac:dyDescent="0.15">
      <c r="B9" s="19" t="s">
        <v>14</v>
      </c>
      <c r="C9" s="47">
        <v>40</v>
      </c>
      <c r="D9" s="47">
        <v>41</v>
      </c>
      <c r="E9" s="47">
        <v>43</v>
      </c>
      <c r="F9" s="48"/>
      <c r="G9" s="48"/>
      <c r="H9" s="48"/>
      <c r="I9" s="48"/>
      <c r="J9" s="20" t="s">
        <v>142</v>
      </c>
      <c r="K9" s="66"/>
      <c r="M9" s="17"/>
      <c r="N9" s="18"/>
      <c r="O9" s="18"/>
      <c r="P9" s="18"/>
      <c r="Q9" s="18"/>
      <c r="R9" s="18"/>
      <c r="S9" s="18"/>
    </row>
    <row r="10" spans="2:19" x14ac:dyDescent="0.15">
      <c r="B10" s="13" t="s">
        <v>252</v>
      </c>
      <c r="C10" s="47">
        <v>75</v>
      </c>
      <c r="D10" s="47">
        <v>80</v>
      </c>
      <c r="E10" s="47">
        <v>80</v>
      </c>
      <c r="F10" s="184"/>
      <c r="G10" s="184"/>
      <c r="H10" s="184"/>
      <c r="I10" s="184"/>
      <c r="J10" s="20" t="s">
        <v>61</v>
      </c>
      <c r="K10" s="50"/>
      <c r="M10" s="17"/>
      <c r="N10" s="18"/>
      <c r="O10" s="18"/>
      <c r="P10" s="18"/>
      <c r="Q10" s="18"/>
      <c r="R10" s="18"/>
      <c r="S10" s="18"/>
    </row>
    <row r="11" spans="2:19" x14ac:dyDescent="0.15">
      <c r="B11" s="13" t="s">
        <v>15</v>
      </c>
      <c r="C11" s="47">
        <v>5.53</v>
      </c>
      <c r="D11" s="48">
        <v>6</v>
      </c>
      <c r="E11" s="48">
        <v>6</v>
      </c>
      <c r="F11" s="47"/>
      <c r="G11" s="47"/>
      <c r="H11" s="47"/>
      <c r="I11" s="47"/>
      <c r="J11" s="15"/>
      <c r="K11" s="50">
        <v>2</v>
      </c>
      <c r="M11" s="1"/>
      <c r="N11" s="21"/>
      <c r="O11" s="21"/>
      <c r="P11" s="21"/>
      <c r="Q11" s="21"/>
      <c r="R11" s="21"/>
      <c r="S11" s="18"/>
    </row>
    <row r="12" spans="2:19" x14ac:dyDescent="0.15">
      <c r="B12" s="22" t="s">
        <v>16</v>
      </c>
      <c r="C12" s="47">
        <v>6.6</v>
      </c>
      <c r="D12" s="48">
        <v>7</v>
      </c>
      <c r="E12" s="48">
        <v>7</v>
      </c>
      <c r="F12" s="47"/>
      <c r="G12" s="47"/>
      <c r="H12" s="47"/>
      <c r="I12" s="47"/>
      <c r="J12" s="15" t="s">
        <v>32</v>
      </c>
      <c r="K12" s="50">
        <v>3</v>
      </c>
      <c r="M12" s="1"/>
      <c r="N12" s="21"/>
      <c r="O12" s="21"/>
      <c r="P12" s="21"/>
      <c r="Q12" s="21"/>
      <c r="R12" s="21"/>
      <c r="S12" s="18"/>
    </row>
    <row r="13" spans="2:19" x14ac:dyDescent="0.15">
      <c r="B13" s="22" t="s">
        <v>17</v>
      </c>
      <c r="C13" s="47">
        <v>30</v>
      </c>
      <c r="D13" s="48">
        <v>30</v>
      </c>
      <c r="E13" s="48">
        <v>30</v>
      </c>
      <c r="F13" s="47"/>
      <c r="G13" s="47"/>
      <c r="H13" s="47"/>
      <c r="I13" s="47"/>
      <c r="J13" s="15"/>
      <c r="K13" s="50" t="s">
        <v>133</v>
      </c>
      <c r="M13" s="17"/>
      <c r="N13" s="18"/>
      <c r="O13" s="18"/>
      <c r="P13" s="18"/>
      <c r="Q13" s="18"/>
      <c r="R13" s="18"/>
      <c r="S13" s="18"/>
    </row>
    <row r="14" spans="2:19" x14ac:dyDescent="0.15">
      <c r="B14" s="22" t="s">
        <v>18</v>
      </c>
      <c r="C14" s="47">
        <v>4</v>
      </c>
      <c r="D14" s="48">
        <v>4</v>
      </c>
      <c r="E14" s="48">
        <v>4</v>
      </c>
      <c r="F14" s="15"/>
      <c r="G14" s="15"/>
      <c r="H14" s="15"/>
      <c r="I14" s="47"/>
      <c r="J14" s="15"/>
      <c r="K14" s="50">
        <v>4</v>
      </c>
      <c r="M14" s="17"/>
      <c r="N14" s="18"/>
      <c r="O14" s="18"/>
      <c r="P14" s="18"/>
      <c r="Q14" s="18"/>
      <c r="R14" s="18"/>
      <c r="S14" s="18"/>
    </row>
    <row r="15" spans="2:19" x14ac:dyDescent="0.15">
      <c r="B15" s="23" t="s">
        <v>20</v>
      </c>
      <c r="C15" s="46" t="s">
        <v>253</v>
      </c>
      <c r="D15" s="46" t="s">
        <v>253</v>
      </c>
      <c r="E15" s="46" t="s">
        <v>253</v>
      </c>
      <c r="F15" s="46" t="s">
        <v>253</v>
      </c>
      <c r="G15" s="46" t="s">
        <v>253</v>
      </c>
      <c r="H15" s="46" t="s">
        <v>253</v>
      </c>
      <c r="I15" s="46" t="s">
        <v>253</v>
      </c>
      <c r="J15" s="16"/>
      <c r="K15" s="15"/>
      <c r="M15" s="17"/>
      <c r="N15" s="18"/>
      <c r="O15" s="18"/>
      <c r="P15" s="18"/>
      <c r="Q15" s="18"/>
      <c r="R15" s="18"/>
      <c r="S15" s="18"/>
    </row>
    <row r="16" spans="2:19" x14ac:dyDescent="0.15">
      <c r="B16" s="42" t="s">
        <v>21</v>
      </c>
      <c r="C16" s="43"/>
      <c r="D16" s="43"/>
      <c r="E16" s="43"/>
      <c r="F16" s="43"/>
      <c r="G16" s="43"/>
      <c r="H16" s="43"/>
      <c r="I16" s="44"/>
      <c r="J16" s="44"/>
      <c r="K16" s="45"/>
      <c r="M16" s="17"/>
      <c r="N16" s="18"/>
      <c r="O16" s="18"/>
      <c r="P16" s="18"/>
      <c r="Q16" s="18"/>
      <c r="R16" s="18"/>
      <c r="S16" s="18"/>
    </row>
    <row r="17" spans="2:19" x14ac:dyDescent="0.15">
      <c r="B17" s="23" t="s">
        <v>22</v>
      </c>
      <c r="C17" s="46" t="s">
        <v>253</v>
      </c>
      <c r="D17" s="46" t="s">
        <v>31</v>
      </c>
      <c r="E17" s="46" t="s">
        <v>31</v>
      </c>
      <c r="F17" s="46" t="s">
        <v>31</v>
      </c>
      <c r="G17" s="46" t="s">
        <v>31</v>
      </c>
      <c r="H17" s="46" t="s">
        <v>31</v>
      </c>
      <c r="I17" s="46" t="s">
        <v>31</v>
      </c>
      <c r="J17" s="16"/>
      <c r="K17" s="15"/>
      <c r="M17" s="17"/>
      <c r="N17" s="18"/>
      <c r="O17" s="18"/>
      <c r="P17" s="18"/>
      <c r="Q17" s="18"/>
      <c r="R17" s="18"/>
      <c r="S17" s="18"/>
    </row>
    <row r="18" spans="2:19" x14ac:dyDescent="0.15">
      <c r="B18" s="23" t="s">
        <v>23</v>
      </c>
      <c r="C18" s="46" t="s">
        <v>253</v>
      </c>
      <c r="D18" s="46" t="s">
        <v>31</v>
      </c>
      <c r="E18" s="46" t="s">
        <v>31</v>
      </c>
      <c r="F18" s="46" t="s">
        <v>31</v>
      </c>
      <c r="G18" s="46" t="s">
        <v>31</v>
      </c>
      <c r="H18" s="46" t="s">
        <v>31</v>
      </c>
      <c r="I18" s="46" t="s">
        <v>31</v>
      </c>
      <c r="J18" s="16"/>
      <c r="K18" s="15"/>
      <c r="M18" s="17"/>
      <c r="N18" s="18"/>
      <c r="O18" s="18"/>
      <c r="P18" s="18"/>
      <c r="Q18" s="18"/>
      <c r="R18" s="18"/>
      <c r="S18" s="18"/>
    </row>
    <row r="19" spans="2:19" x14ac:dyDescent="0.15">
      <c r="B19" s="24" t="s">
        <v>254</v>
      </c>
      <c r="C19" s="25"/>
      <c r="D19" s="25"/>
      <c r="E19" s="25"/>
      <c r="F19" s="25"/>
      <c r="G19" s="25"/>
      <c r="H19" s="25"/>
      <c r="I19" s="26"/>
      <c r="J19" s="26"/>
      <c r="K19" s="27"/>
      <c r="M19" s="17"/>
      <c r="N19" s="18"/>
      <c r="O19" s="18"/>
      <c r="P19" s="18"/>
      <c r="Q19" s="18"/>
      <c r="R19" s="18"/>
      <c r="S19" s="18"/>
    </row>
    <row r="20" spans="2:19" x14ac:dyDescent="0.15">
      <c r="B20" s="22" t="s">
        <v>25</v>
      </c>
      <c r="C20" s="14">
        <v>3</v>
      </c>
      <c r="D20" s="57">
        <v>3.5</v>
      </c>
      <c r="E20" s="57">
        <v>5</v>
      </c>
      <c r="F20" s="15"/>
      <c r="G20" s="15"/>
      <c r="H20" s="15"/>
      <c r="I20" s="15"/>
      <c r="J20" s="16" t="s">
        <v>64</v>
      </c>
      <c r="K20" s="50">
        <v>5</v>
      </c>
      <c r="L20" s="3"/>
      <c r="M20" s="17"/>
      <c r="N20" s="18"/>
      <c r="O20" s="18"/>
      <c r="P20" s="18"/>
      <c r="Q20" s="18"/>
      <c r="R20" s="18"/>
      <c r="S20" s="18"/>
    </row>
    <row r="21" spans="2:19" x14ac:dyDescent="0.15">
      <c r="B21" s="22" t="s">
        <v>26</v>
      </c>
      <c r="C21" s="47">
        <v>50</v>
      </c>
      <c r="D21" s="48">
        <v>40</v>
      </c>
      <c r="E21" s="48">
        <v>30</v>
      </c>
      <c r="F21" s="15"/>
      <c r="G21" s="15"/>
      <c r="H21" s="15"/>
      <c r="I21" s="15"/>
      <c r="J21" s="16" t="s">
        <v>64</v>
      </c>
      <c r="K21" s="50">
        <v>5</v>
      </c>
      <c r="M21" s="17"/>
      <c r="N21" s="18"/>
      <c r="O21" s="18"/>
      <c r="P21" s="18"/>
      <c r="Q21" s="18"/>
      <c r="R21" s="18"/>
      <c r="S21" s="18"/>
    </row>
    <row r="22" spans="2:19" x14ac:dyDescent="0.15">
      <c r="B22" s="22" t="s">
        <v>27</v>
      </c>
      <c r="C22" s="47">
        <v>6</v>
      </c>
      <c r="D22" s="47">
        <v>6</v>
      </c>
      <c r="E22" s="47">
        <v>6</v>
      </c>
      <c r="F22" s="15"/>
      <c r="G22" s="15"/>
      <c r="H22" s="15"/>
      <c r="I22" s="15"/>
      <c r="J22" s="16"/>
      <c r="K22" s="50" t="s">
        <v>255</v>
      </c>
      <c r="M22" s="17"/>
      <c r="N22" s="18"/>
      <c r="O22" s="18"/>
      <c r="P22" s="18"/>
      <c r="Q22" s="18"/>
      <c r="R22" s="18"/>
      <c r="S22" s="18"/>
    </row>
    <row r="23" spans="2:19" x14ac:dyDescent="0.15">
      <c r="B23" s="22" t="s">
        <v>28</v>
      </c>
      <c r="C23" s="47" t="s">
        <v>256</v>
      </c>
      <c r="D23" s="47" t="s">
        <v>256</v>
      </c>
      <c r="E23" s="47" t="s">
        <v>256</v>
      </c>
      <c r="F23" s="15"/>
      <c r="G23" s="15"/>
      <c r="H23" s="15"/>
      <c r="I23" s="15"/>
      <c r="J23" s="16" t="s">
        <v>77</v>
      </c>
      <c r="K23" s="50" t="s">
        <v>255</v>
      </c>
      <c r="M23" s="17"/>
      <c r="N23" s="18"/>
      <c r="O23" s="18"/>
      <c r="P23" s="18"/>
      <c r="Q23" s="18"/>
      <c r="R23" s="18"/>
      <c r="S23" s="18"/>
    </row>
    <row r="24" spans="2:19" x14ac:dyDescent="0.15">
      <c r="B24" s="24" t="s">
        <v>29</v>
      </c>
      <c r="C24" s="28"/>
      <c r="D24" s="28"/>
      <c r="E24" s="28"/>
      <c r="F24" s="28"/>
      <c r="G24" s="28"/>
      <c r="H24" s="28"/>
      <c r="I24" s="28"/>
      <c r="J24" s="28"/>
      <c r="K24" s="29"/>
      <c r="M24" s="261"/>
      <c r="N24" s="261"/>
      <c r="O24" s="261"/>
      <c r="P24" s="261"/>
      <c r="Q24" s="261"/>
      <c r="R24" s="261"/>
      <c r="S24" s="261"/>
    </row>
    <row r="25" spans="2:19" x14ac:dyDescent="0.15">
      <c r="B25" s="22" t="s">
        <v>257</v>
      </c>
      <c r="C25" s="31">
        <v>115</v>
      </c>
      <c r="D25" s="31">
        <v>100</v>
      </c>
      <c r="E25" s="31">
        <v>100</v>
      </c>
      <c r="G25" s="31"/>
      <c r="H25" s="31"/>
      <c r="I25" s="31"/>
      <c r="J25" s="30"/>
      <c r="K25" s="50" t="s">
        <v>258</v>
      </c>
      <c r="M25" s="17"/>
      <c r="N25" s="18"/>
      <c r="O25" s="18"/>
      <c r="P25" s="18"/>
      <c r="Q25" s="18"/>
      <c r="R25" s="18"/>
      <c r="S25" s="18"/>
    </row>
    <row r="26" spans="2:19" x14ac:dyDescent="0.15">
      <c r="B26" s="22" t="s">
        <v>33</v>
      </c>
      <c r="C26" s="31">
        <v>99</v>
      </c>
      <c r="D26" s="31">
        <v>99</v>
      </c>
      <c r="E26" s="31">
        <v>99</v>
      </c>
      <c r="F26" s="31"/>
      <c r="G26" s="31"/>
      <c r="H26" s="31"/>
      <c r="I26" s="31"/>
      <c r="J26" s="30"/>
      <c r="K26" s="50" t="s">
        <v>259</v>
      </c>
      <c r="M26" s="17"/>
      <c r="N26" s="18"/>
      <c r="O26" s="18"/>
      <c r="P26" s="18"/>
      <c r="Q26" s="18"/>
      <c r="R26" s="18"/>
      <c r="S26" s="18"/>
    </row>
    <row r="27" spans="2:19" ht="15" customHeight="1" x14ac:dyDescent="0.15">
      <c r="B27" s="22" t="s">
        <v>34</v>
      </c>
      <c r="C27" s="31">
        <v>173</v>
      </c>
      <c r="D27" s="31">
        <f>0.08*1000/3.6/D$8%</f>
        <v>51.679586563307495</v>
      </c>
      <c r="E27" s="31">
        <f>0.08*1000/3.6/E$8%</f>
        <v>49.382716049382715</v>
      </c>
      <c r="F27" s="31"/>
      <c r="G27" s="31"/>
      <c r="H27" s="31"/>
      <c r="I27" s="31"/>
      <c r="J27" s="32"/>
      <c r="K27" s="50" t="s">
        <v>258</v>
      </c>
      <c r="M27" s="17"/>
      <c r="N27" s="18"/>
      <c r="O27" s="18"/>
      <c r="P27" s="18"/>
      <c r="Q27" s="18"/>
      <c r="R27" s="18"/>
      <c r="S27" s="18"/>
    </row>
    <row r="28" spans="2:19" x14ac:dyDescent="0.15">
      <c r="B28" s="22" t="s">
        <v>260</v>
      </c>
      <c r="C28" s="31"/>
      <c r="D28" s="31"/>
      <c r="E28" s="31"/>
      <c r="F28" s="31"/>
      <c r="G28" s="31"/>
      <c r="H28" s="31"/>
      <c r="I28" s="31"/>
      <c r="J28" s="16"/>
      <c r="K28" s="16"/>
      <c r="M28" s="17"/>
      <c r="N28" s="33"/>
      <c r="O28" s="35"/>
      <c r="P28" s="33"/>
      <c r="Q28" s="33"/>
      <c r="R28" s="18"/>
      <c r="S28" s="18"/>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2.4</v>
      </c>
      <c r="D30" s="58">
        <f>MROUND(C30*0.92,0.01)</f>
        <v>2.21</v>
      </c>
      <c r="E30" s="58">
        <f>MROUND(C30*0.85,0.01)</f>
        <v>2.04</v>
      </c>
      <c r="F30" s="51">
        <v>2.16</v>
      </c>
      <c r="G30" s="51">
        <v>3.5</v>
      </c>
      <c r="H30" s="58">
        <v>1.75</v>
      </c>
      <c r="I30" s="51">
        <v>3</v>
      </c>
      <c r="J30" s="16" t="s">
        <v>144</v>
      </c>
      <c r="K30" s="50" t="s">
        <v>261</v>
      </c>
      <c r="M30" s="17"/>
      <c r="N30" s="35"/>
      <c r="O30" s="35"/>
      <c r="P30" s="35"/>
      <c r="Q30" s="35"/>
      <c r="R30" s="18"/>
      <c r="S30" s="18"/>
    </row>
    <row r="31" spans="2:19" x14ac:dyDescent="0.15">
      <c r="B31" s="22" t="s">
        <v>117</v>
      </c>
      <c r="C31" s="36">
        <v>30</v>
      </c>
      <c r="D31" s="36">
        <v>30</v>
      </c>
      <c r="E31" s="36">
        <v>30</v>
      </c>
      <c r="F31" s="36">
        <v>25</v>
      </c>
      <c r="G31" s="36">
        <v>50</v>
      </c>
      <c r="H31" s="36">
        <v>25</v>
      </c>
      <c r="I31" s="36">
        <v>50</v>
      </c>
      <c r="J31" s="16"/>
      <c r="K31" s="16" t="s">
        <v>261</v>
      </c>
      <c r="M31" s="17"/>
      <c r="N31" s="35"/>
      <c r="O31" s="35"/>
      <c r="P31" s="35"/>
      <c r="Q31" s="35"/>
      <c r="R31" s="18"/>
      <c r="S31" s="18"/>
    </row>
    <row r="32" spans="2:19" x14ac:dyDescent="0.15">
      <c r="B32" s="22" t="s">
        <v>118</v>
      </c>
      <c r="C32" s="36">
        <v>70</v>
      </c>
      <c r="D32" s="36">
        <v>70</v>
      </c>
      <c r="E32" s="36">
        <v>70</v>
      </c>
      <c r="F32" s="36">
        <v>50</v>
      </c>
      <c r="G32" s="36">
        <v>75</v>
      </c>
      <c r="H32" s="36">
        <v>50</v>
      </c>
      <c r="I32" s="36">
        <v>75</v>
      </c>
      <c r="J32" s="16"/>
      <c r="K32" s="16">
        <v>6</v>
      </c>
      <c r="M32" s="17"/>
      <c r="N32" s="35"/>
      <c r="O32" s="35"/>
      <c r="P32" s="35"/>
      <c r="Q32" s="35"/>
      <c r="R32" s="18"/>
      <c r="S32" s="18"/>
    </row>
    <row r="33" spans="1:19" x14ac:dyDescent="0.15">
      <c r="B33" s="22" t="s">
        <v>42</v>
      </c>
      <c r="C33" s="185">
        <v>60000</v>
      </c>
      <c r="D33" s="48">
        <f>MROUND(C33*0.9698,100)</f>
        <v>58200</v>
      </c>
      <c r="E33" s="48">
        <f>MROUND(C33*0.9397,100)</f>
        <v>56400</v>
      </c>
      <c r="F33" s="36">
        <v>56100</v>
      </c>
      <c r="G33" s="186">
        <v>68400</v>
      </c>
      <c r="H33" s="48">
        <f>MROUND(F33*0.9397,100)</f>
        <v>52700</v>
      </c>
      <c r="I33" s="36">
        <v>68400</v>
      </c>
      <c r="J33" s="16"/>
      <c r="K33" s="50">
        <v>6</v>
      </c>
      <c r="M33" s="17"/>
      <c r="N33" s="35"/>
      <c r="O33" s="35"/>
      <c r="P33" s="35"/>
      <c r="Q33" s="35"/>
      <c r="R33" s="18"/>
      <c r="S33" s="18"/>
    </row>
    <row r="34" spans="1:19" x14ac:dyDescent="0.15">
      <c r="B34" s="22" t="s">
        <v>45</v>
      </c>
      <c r="C34" s="14">
        <v>12</v>
      </c>
      <c r="D34" s="57">
        <f>MROUND(C34*0.9698,0.1)</f>
        <v>11.600000000000001</v>
      </c>
      <c r="E34" s="57">
        <f>MROUND(D34*0.9698,0.1)</f>
        <v>11.200000000000001</v>
      </c>
      <c r="F34" s="122">
        <f>C34*1.25</f>
        <v>15</v>
      </c>
      <c r="G34" s="122">
        <v>7.88</v>
      </c>
      <c r="H34" s="122">
        <f>E34*1.25</f>
        <v>14.000000000000002</v>
      </c>
      <c r="I34" s="122">
        <v>7.88</v>
      </c>
      <c r="J34" s="16"/>
      <c r="K34" s="50" t="s">
        <v>261</v>
      </c>
      <c r="M34" s="187"/>
      <c r="N34" s="188"/>
      <c r="O34" s="188"/>
      <c r="P34" s="35"/>
      <c r="Q34" s="35"/>
      <c r="R34" s="18"/>
      <c r="S34" s="18"/>
    </row>
    <row r="35" spans="1:19" x14ac:dyDescent="0.15">
      <c r="B35" s="22" t="s">
        <v>46</v>
      </c>
      <c r="C35" s="47">
        <v>100</v>
      </c>
      <c r="D35" s="36">
        <v>100</v>
      </c>
      <c r="E35" s="36">
        <v>100</v>
      </c>
      <c r="F35" s="36"/>
      <c r="G35" s="36"/>
      <c r="H35" s="36"/>
      <c r="I35" s="36"/>
      <c r="J35" s="16" t="s">
        <v>66</v>
      </c>
      <c r="K35" s="50"/>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137">
        <v>1</v>
      </c>
      <c r="B38" s="53" t="s">
        <v>262</v>
      </c>
    </row>
    <row r="39" spans="1:19" x14ac:dyDescent="0.15">
      <c r="A39" s="137">
        <v>2</v>
      </c>
      <c r="B39" s="189" t="s">
        <v>263</v>
      </c>
    </row>
    <row r="40" spans="1:19" x14ac:dyDescent="0.15">
      <c r="A40" s="137">
        <v>3</v>
      </c>
      <c r="B40" s="189" t="s">
        <v>264</v>
      </c>
    </row>
    <row r="41" spans="1:19" x14ac:dyDescent="0.15">
      <c r="A41" s="137">
        <v>4</v>
      </c>
      <c r="B41" s="190" t="s">
        <v>265</v>
      </c>
    </row>
    <row r="42" spans="1:19" s="1" customFormat="1" ht="24.75" customHeight="1" x14ac:dyDescent="0.15">
      <c r="A42" s="137">
        <v>5</v>
      </c>
      <c r="B42" s="268" t="s">
        <v>266</v>
      </c>
      <c r="C42" s="268"/>
      <c r="D42" s="268"/>
      <c r="E42" s="268"/>
      <c r="F42" s="268"/>
      <c r="G42" s="268"/>
      <c r="H42" s="268"/>
      <c r="I42" s="268"/>
      <c r="J42" s="268"/>
      <c r="K42" s="268"/>
      <c r="M42" s="4"/>
      <c r="N42" s="4"/>
      <c r="O42" s="4"/>
      <c r="P42" s="4"/>
      <c r="Q42" s="4"/>
      <c r="R42" s="4"/>
      <c r="S42" s="4"/>
    </row>
    <row r="43" spans="1:19" s="1" customFormat="1" x14ac:dyDescent="0.15">
      <c r="A43" s="137">
        <v>6</v>
      </c>
      <c r="B43" s="1" t="s">
        <v>267</v>
      </c>
      <c r="M43" s="4"/>
      <c r="N43" s="4"/>
      <c r="O43" s="4"/>
      <c r="P43" s="4"/>
      <c r="Q43" s="4"/>
      <c r="R43" s="4"/>
      <c r="S43" s="4"/>
    </row>
    <row r="44" spans="1:19" ht="26.25" customHeight="1" x14ac:dyDescent="0.15">
      <c r="A44" s="137">
        <v>7</v>
      </c>
      <c r="B44" s="255" t="s">
        <v>268</v>
      </c>
      <c r="C44" s="255"/>
      <c r="D44" s="255"/>
      <c r="E44" s="255"/>
      <c r="F44" s="255"/>
      <c r="G44" s="255"/>
      <c r="H44" s="255"/>
      <c r="I44" s="255"/>
      <c r="J44" s="255"/>
      <c r="K44" s="255"/>
    </row>
    <row r="45" spans="1:19" ht="27" customHeight="1" x14ac:dyDescent="0.15">
      <c r="A45" s="137">
        <v>8</v>
      </c>
      <c r="B45" s="269" t="s">
        <v>269</v>
      </c>
      <c r="C45" s="269"/>
      <c r="D45" s="269"/>
      <c r="E45" s="269"/>
      <c r="F45" s="269"/>
      <c r="G45" s="269"/>
      <c r="H45" s="269"/>
      <c r="I45" s="269"/>
      <c r="J45" s="269"/>
      <c r="K45" s="269"/>
    </row>
    <row r="46" spans="1:19" x14ac:dyDescent="0.15">
      <c r="A46" s="137">
        <v>9</v>
      </c>
      <c r="B46" s="53" t="s">
        <v>270</v>
      </c>
    </row>
    <row r="47" spans="1:19" x14ac:dyDescent="0.15">
      <c r="A47" s="137">
        <v>10</v>
      </c>
      <c r="B47" s="53" t="s">
        <v>271</v>
      </c>
    </row>
    <row r="48" spans="1:19" s="194" customFormat="1" ht="13" x14ac:dyDescent="0.15">
      <c r="A48" s="191">
        <v>11</v>
      </c>
      <c r="B48" s="192" t="s">
        <v>272</v>
      </c>
      <c r="C48" s="1"/>
      <c r="D48" s="1"/>
      <c r="E48" s="1"/>
      <c r="F48" s="1"/>
      <c r="G48" s="1"/>
      <c r="H48" s="1"/>
      <c r="I48" s="1"/>
      <c r="J48" s="1"/>
      <c r="K48" s="1"/>
      <c r="L48" s="193"/>
    </row>
    <row r="49" spans="1:19" s="194" customFormat="1" ht="13" x14ac:dyDescent="0.15">
      <c r="A49" s="191">
        <v>12</v>
      </c>
      <c r="B49" s="195" t="s">
        <v>273</v>
      </c>
      <c r="C49" s="1"/>
      <c r="D49" s="1"/>
      <c r="E49" s="1"/>
      <c r="F49" s="1"/>
      <c r="G49" s="1"/>
      <c r="H49" s="1"/>
      <c r="I49" s="1"/>
      <c r="J49" s="1"/>
      <c r="K49" s="1"/>
      <c r="L49" s="193"/>
    </row>
    <row r="50" spans="1:19" x14ac:dyDescent="0.15">
      <c r="A50" s="1">
        <v>13</v>
      </c>
      <c r="B50" s="1" t="s">
        <v>274</v>
      </c>
      <c r="C50" s="137"/>
    </row>
    <row r="51" spans="1:19" s="1" customFormat="1" x14ac:dyDescent="0.15">
      <c r="A51" s="3" t="s">
        <v>59</v>
      </c>
      <c r="M51" s="4"/>
      <c r="N51" s="4"/>
      <c r="O51" s="4"/>
      <c r="P51" s="4"/>
      <c r="Q51" s="4"/>
      <c r="R51" s="4"/>
      <c r="S51" s="4"/>
    </row>
    <row r="52" spans="1:19" s="1" customFormat="1" ht="24.75" customHeight="1" x14ac:dyDescent="0.15">
      <c r="A52" s="52" t="s">
        <v>13</v>
      </c>
      <c r="B52" s="255" t="s">
        <v>275</v>
      </c>
      <c r="C52" s="255"/>
      <c r="D52" s="255"/>
      <c r="E52" s="255"/>
      <c r="F52" s="255"/>
      <c r="G52" s="255"/>
      <c r="H52" s="255"/>
      <c r="I52" s="255"/>
      <c r="J52" s="255"/>
      <c r="K52" s="255"/>
      <c r="M52" s="4"/>
      <c r="N52" s="4"/>
      <c r="O52" s="4"/>
      <c r="P52" s="4"/>
      <c r="Q52" s="4"/>
      <c r="R52" s="4"/>
      <c r="S52" s="4"/>
    </row>
    <row r="53" spans="1:19" s="1" customFormat="1" x14ac:dyDescent="0.15">
      <c r="A53" s="52" t="s">
        <v>61</v>
      </c>
      <c r="B53" s="53" t="s">
        <v>276</v>
      </c>
      <c r="C53" s="53"/>
      <c r="D53" s="53"/>
      <c r="E53" s="53"/>
      <c r="F53" s="53"/>
      <c r="G53" s="53"/>
      <c r="H53" s="53"/>
      <c r="I53" s="53"/>
      <c r="J53" s="53"/>
      <c r="K53" s="53"/>
      <c r="M53" s="4"/>
      <c r="N53" s="4"/>
      <c r="O53" s="4"/>
      <c r="P53" s="4"/>
      <c r="Q53" s="4"/>
      <c r="R53" s="4"/>
      <c r="S53" s="4"/>
    </row>
    <row r="54" spans="1:19" s="1" customFormat="1" x14ac:dyDescent="0.15">
      <c r="A54" s="52" t="s">
        <v>32</v>
      </c>
      <c r="B54" s="255" t="s">
        <v>277</v>
      </c>
      <c r="C54" s="255"/>
      <c r="D54" s="255"/>
      <c r="E54" s="255"/>
      <c r="F54" s="255"/>
      <c r="G54" s="255"/>
      <c r="H54" s="255"/>
      <c r="I54" s="255"/>
      <c r="J54" s="255"/>
      <c r="K54" s="255"/>
      <c r="M54" s="4"/>
      <c r="N54" s="4"/>
      <c r="O54" s="4"/>
      <c r="P54" s="4"/>
      <c r="Q54" s="4"/>
      <c r="R54" s="4"/>
      <c r="S54" s="4"/>
    </row>
    <row r="55" spans="1:19" s="1" customFormat="1" ht="26.25" customHeight="1" x14ac:dyDescent="0.15">
      <c r="A55" s="52" t="s">
        <v>64</v>
      </c>
      <c r="B55" s="255" t="s">
        <v>278</v>
      </c>
      <c r="C55" s="255"/>
      <c r="D55" s="255"/>
      <c r="E55" s="255"/>
      <c r="F55" s="255"/>
      <c r="G55" s="255"/>
      <c r="H55" s="255"/>
      <c r="I55" s="255"/>
      <c r="J55" s="255"/>
      <c r="K55" s="255"/>
      <c r="M55" s="4"/>
      <c r="N55" s="4"/>
      <c r="O55" s="4"/>
      <c r="P55" s="4"/>
      <c r="Q55" s="4"/>
      <c r="R55" s="4"/>
      <c r="S55" s="4"/>
    </row>
    <row r="56" spans="1:19" s="1" customFormat="1" ht="28.5" customHeight="1" x14ac:dyDescent="0.15">
      <c r="A56" s="52" t="s">
        <v>66</v>
      </c>
      <c r="B56" s="255" t="s">
        <v>279</v>
      </c>
      <c r="C56" s="255"/>
      <c r="D56" s="255"/>
      <c r="E56" s="255"/>
      <c r="F56" s="255"/>
      <c r="G56" s="255"/>
      <c r="H56" s="255"/>
      <c r="I56" s="255"/>
      <c r="J56" s="255"/>
      <c r="K56" s="255"/>
      <c r="M56" s="4"/>
      <c r="N56" s="4"/>
      <c r="O56" s="4"/>
      <c r="P56" s="4"/>
      <c r="Q56" s="4"/>
      <c r="R56" s="4"/>
      <c r="S56" s="4"/>
    </row>
    <row r="57" spans="1:19" s="1" customFormat="1" ht="25.5" customHeight="1" x14ac:dyDescent="0.15">
      <c r="A57" s="52" t="s">
        <v>77</v>
      </c>
      <c r="B57" s="255" t="s">
        <v>280</v>
      </c>
      <c r="C57" s="255"/>
      <c r="D57" s="255"/>
      <c r="E57" s="255"/>
      <c r="F57" s="255"/>
      <c r="G57" s="255"/>
      <c r="H57" s="255"/>
      <c r="I57" s="255"/>
      <c r="J57" s="255"/>
      <c r="K57" s="255"/>
      <c r="M57" s="4"/>
      <c r="N57" s="4"/>
      <c r="O57" s="4"/>
      <c r="P57" s="4"/>
      <c r="Q57" s="4"/>
      <c r="R57" s="4"/>
      <c r="S57" s="4"/>
    </row>
    <row r="58" spans="1:19" s="1" customFormat="1" ht="26.25" customHeight="1" x14ac:dyDescent="0.15">
      <c r="A58" s="196" t="s">
        <v>142</v>
      </c>
      <c r="B58" s="262" t="s">
        <v>281</v>
      </c>
      <c r="C58" s="262"/>
      <c r="D58" s="262"/>
      <c r="E58" s="262"/>
      <c r="F58" s="262"/>
      <c r="G58" s="262"/>
      <c r="H58" s="262"/>
      <c r="I58" s="262"/>
      <c r="J58" s="262"/>
      <c r="K58" s="262"/>
      <c r="M58" s="4"/>
      <c r="N58" s="4"/>
      <c r="O58" s="4"/>
      <c r="P58" s="4"/>
      <c r="Q58" s="4"/>
      <c r="R58" s="4"/>
      <c r="S58" s="4"/>
    </row>
    <row r="59" spans="1:19" x14ac:dyDescent="0.15">
      <c r="A59" s="52" t="s">
        <v>144</v>
      </c>
      <c r="B59" s="53" t="s">
        <v>282</v>
      </c>
    </row>
  </sheetData>
  <mergeCells count="17">
    <mergeCell ref="B52:K52"/>
    <mergeCell ref="C3:K3"/>
    <mergeCell ref="N3:S3"/>
    <mergeCell ref="F4:G4"/>
    <mergeCell ref="H4:I4"/>
    <mergeCell ref="M5:S5"/>
    <mergeCell ref="N6:S6"/>
    <mergeCell ref="M24:S24"/>
    <mergeCell ref="M35:S35"/>
    <mergeCell ref="B42:K42"/>
    <mergeCell ref="B44:K44"/>
    <mergeCell ref="B45:K45"/>
    <mergeCell ref="B54:K54"/>
    <mergeCell ref="B55:K55"/>
    <mergeCell ref="B56:K56"/>
    <mergeCell ref="B57:K57"/>
    <mergeCell ref="B58:K58"/>
  </mergeCells>
  <hyperlinks>
    <hyperlink ref="B40" r:id="rId1" display="https://netl.doe.gov/sites/default/files/netl-file/22HOLT.pdf" xr:uid="{84B1A8B7-3F79-4DC4-97CC-6641B976D276}"/>
    <hyperlink ref="B41" r:id="rId2" display="https://www.euro-fusion.org/fileadmin/user_upload/Archive/wp-content/uploads/2015/02/Final-report-WP12-SER-ETM-3-01.pdf" xr:uid="{6F7237B5-D978-4C87-B35A-C648EF103B8E}"/>
    <hyperlink ref="B42" r:id="rId3" display="https://www.modernpowersystems.com/features/featureincreasing-flexibility-of-igcc-4893259/" xr:uid="{AA6F0F24-C49A-42A4-BA66-0710CF27C244}"/>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499984740745262"/>
  </sheetPr>
  <dimension ref="A1:S57"/>
  <sheetViews>
    <sheetView zoomScale="70" zoomScaleNormal="70" zoomScaleSheetLayoutView="120" workbookViewId="0">
      <selection activeCell="B55" sqref="B55:K55"/>
    </sheetView>
  </sheetViews>
  <sheetFormatPr baseColWidth="10" defaultColWidth="9.1640625" defaultRowHeight="14" x14ac:dyDescent="0.15"/>
  <cols>
    <col min="1" max="1" width="3" style="1" customWidth="1"/>
    <col min="2" max="2" width="38" style="1" customWidth="1"/>
    <col min="3" max="5" width="10.83203125" style="1" customWidth="1"/>
    <col min="6" max="9" width="9.5" style="1" customWidth="1"/>
    <col min="10" max="10" width="8.83203125" style="1" customWidth="1"/>
    <col min="11"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68</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10</v>
      </c>
      <c r="D6" s="47">
        <v>10</v>
      </c>
      <c r="E6" s="47">
        <v>10</v>
      </c>
      <c r="F6" s="14">
        <v>0.3</v>
      </c>
      <c r="G6" s="47">
        <v>20</v>
      </c>
      <c r="H6" s="14">
        <v>0.3</v>
      </c>
      <c r="I6" s="47">
        <v>20</v>
      </c>
      <c r="J6" s="15"/>
      <c r="K6" s="50" t="s">
        <v>69</v>
      </c>
      <c r="M6" s="17"/>
      <c r="N6" s="253"/>
      <c r="O6" s="254"/>
      <c r="P6" s="254"/>
      <c r="Q6" s="254"/>
      <c r="R6" s="254"/>
      <c r="S6" s="254"/>
    </row>
    <row r="7" spans="2:19" ht="27" customHeight="1" x14ac:dyDescent="0.15">
      <c r="B7" s="13" t="s">
        <v>11</v>
      </c>
      <c r="C7" s="47">
        <v>20</v>
      </c>
      <c r="D7" s="47">
        <v>20</v>
      </c>
      <c r="E7" s="47">
        <v>20</v>
      </c>
      <c r="F7" s="47">
        <v>5</v>
      </c>
      <c r="G7" s="47">
        <v>30</v>
      </c>
      <c r="H7" s="47">
        <v>5</v>
      </c>
      <c r="I7" s="47">
        <v>30</v>
      </c>
      <c r="J7" s="15"/>
      <c r="K7" s="50">
        <v>1</v>
      </c>
      <c r="M7" s="17"/>
      <c r="N7" s="60"/>
      <c r="O7" s="61"/>
      <c r="P7" s="61"/>
      <c r="Q7" s="61"/>
      <c r="R7" s="61"/>
      <c r="S7" s="61"/>
    </row>
    <row r="8" spans="2:19" x14ac:dyDescent="0.15">
      <c r="B8" s="13" t="s">
        <v>12</v>
      </c>
      <c r="C8" s="47">
        <v>10</v>
      </c>
      <c r="D8" s="47">
        <v>11</v>
      </c>
      <c r="E8" s="47">
        <v>12</v>
      </c>
      <c r="F8" s="47">
        <v>6</v>
      </c>
      <c r="G8" s="47">
        <v>12</v>
      </c>
      <c r="H8" s="47">
        <v>8</v>
      </c>
      <c r="I8" s="47">
        <v>14</v>
      </c>
      <c r="J8" s="15" t="s">
        <v>13</v>
      </c>
      <c r="K8" s="46">
        <v>5</v>
      </c>
      <c r="M8" s="17"/>
      <c r="N8" s="18"/>
      <c r="O8" s="18"/>
      <c r="P8" s="18"/>
      <c r="Q8" s="18"/>
      <c r="R8" s="18"/>
      <c r="S8" s="18"/>
    </row>
    <row r="9" spans="2:19" x14ac:dyDescent="0.15">
      <c r="B9" s="19" t="s">
        <v>14</v>
      </c>
      <c r="C9" s="47">
        <v>10</v>
      </c>
      <c r="D9" s="47">
        <v>11</v>
      </c>
      <c r="E9" s="47">
        <v>12</v>
      </c>
      <c r="F9" s="47">
        <v>6</v>
      </c>
      <c r="G9" s="47">
        <v>12</v>
      </c>
      <c r="H9" s="47">
        <v>8</v>
      </c>
      <c r="I9" s="47">
        <v>14</v>
      </c>
      <c r="J9" s="15" t="s">
        <v>13</v>
      </c>
      <c r="K9" s="46">
        <v>5</v>
      </c>
      <c r="M9" s="17"/>
      <c r="N9" s="18"/>
      <c r="O9" s="18"/>
      <c r="P9" s="18"/>
      <c r="Q9" s="18"/>
      <c r="R9" s="18"/>
      <c r="S9" s="18"/>
    </row>
    <row r="10" spans="2:19" x14ac:dyDescent="0.15">
      <c r="B10" s="13" t="s">
        <v>15</v>
      </c>
      <c r="C10" s="48">
        <v>10</v>
      </c>
      <c r="D10" s="48">
        <v>10</v>
      </c>
      <c r="E10" s="48">
        <v>10</v>
      </c>
      <c r="F10" s="47">
        <v>5</v>
      </c>
      <c r="G10" s="47">
        <v>30</v>
      </c>
      <c r="H10" s="47">
        <v>5</v>
      </c>
      <c r="I10" s="47">
        <v>30</v>
      </c>
      <c r="J10" s="15"/>
      <c r="K10" s="50">
        <v>1</v>
      </c>
      <c r="M10" s="1"/>
      <c r="N10" s="21"/>
      <c r="O10" s="21"/>
      <c r="P10" s="21"/>
      <c r="Q10" s="21"/>
      <c r="R10" s="21"/>
      <c r="S10" s="18"/>
    </row>
    <row r="11" spans="2:19" x14ac:dyDescent="0.15">
      <c r="B11" s="22" t="s">
        <v>16</v>
      </c>
      <c r="C11" s="48">
        <v>4</v>
      </c>
      <c r="D11" s="48">
        <v>4</v>
      </c>
      <c r="E11" s="48">
        <v>4</v>
      </c>
      <c r="F11" s="47">
        <v>2</v>
      </c>
      <c r="G11" s="47">
        <v>6</v>
      </c>
      <c r="H11" s="47">
        <v>2</v>
      </c>
      <c r="I11" s="47">
        <v>6</v>
      </c>
      <c r="J11" s="15"/>
      <c r="K11" s="50">
        <v>1</v>
      </c>
      <c r="M11" s="1"/>
      <c r="N11" s="21"/>
      <c r="O11" s="21"/>
      <c r="P11" s="21"/>
      <c r="Q11" s="21"/>
      <c r="R11" s="21"/>
      <c r="S11" s="18"/>
    </row>
    <row r="12" spans="2:19" x14ac:dyDescent="0.15">
      <c r="B12" s="22" t="s">
        <v>17</v>
      </c>
      <c r="C12" s="48">
        <v>30</v>
      </c>
      <c r="D12" s="48">
        <v>30</v>
      </c>
      <c r="E12" s="48">
        <v>30</v>
      </c>
      <c r="F12" s="47">
        <v>20</v>
      </c>
      <c r="G12" s="47">
        <v>50</v>
      </c>
      <c r="H12" s="47">
        <v>20</v>
      </c>
      <c r="I12" s="47">
        <v>50</v>
      </c>
      <c r="J12" s="15"/>
      <c r="K12" s="50">
        <v>1</v>
      </c>
      <c r="M12" s="17"/>
      <c r="N12" s="18"/>
      <c r="O12" s="18"/>
      <c r="P12" s="18"/>
      <c r="Q12" s="18"/>
      <c r="R12" s="18"/>
      <c r="S12" s="18"/>
    </row>
    <row r="13" spans="2:19" x14ac:dyDescent="0.15">
      <c r="B13" s="22" t="s">
        <v>18</v>
      </c>
      <c r="C13" s="57">
        <f>24/12</f>
        <v>2</v>
      </c>
      <c r="D13" s="57">
        <f t="shared" ref="D13:E13" si="0">24/12</f>
        <v>2</v>
      </c>
      <c r="E13" s="57">
        <f t="shared" si="0"/>
        <v>2</v>
      </c>
      <c r="F13" s="15" t="s">
        <v>19</v>
      </c>
      <c r="G13" s="15">
        <v>3</v>
      </c>
      <c r="H13" s="15" t="s">
        <v>19</v>
      </c>
      <c r="I13" s="15">
        <v>3</v>
      </c>
      <c r="J13" s="15"/>
      <c r="K13" s="50">
        <v>1</v>
      </c>
      <c r="M13" s="17"/>
      <c r="N13" s="18"/>
      <c r="O13" s="18"/>
      <c r="P13" s="18"/>
      <c r="Q13" s="18"/>
      <c r="R13" s="18"/>
      <c r="S13" s="18"/>
    </row>
    <row r="14" spans="2:19" x14ac:dyDescent="0.15">
      <c r="B14" s="23" t="s">
        <v>20</v>
      </c>
      <c r="C14" s="48">
        <v>30</v>
      </c>
      <c r="D14" s="48">
        <v>31</v>
      </c>
      <c r="E14" s="48">
        <v>32</v>
      </c>
      <c r="F14" s="46">
        <v>20</v>
      </c>
      <c r="G14" s="46">
        <v>40</v>
      </c>
      <c r="H14" s="46">
        <v>20</v>
      </c>
      <c r="I14" s="46">
        <v>40</v>
      </c>
      <c r="J14" s="16"/>
      <c r="K14" s="15">
        <v>1</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90</v>
      </c>
      <c r="D16" s="46">
        <v>90</v>
      </c>
      <c r="E16" s="46">
        <v>90</v>
      </c>
      <c r="F16" s="46">
        <v>70</v>
      </c>
      <c r="G16" s="46">
        <v>100</v>
      </c>
      <c r="H16" s="46">
        <v>70</v>
      </c>
      <c r="I16" s="46">
        <v>100</v>
      </c>
      <c r="J16" s="16"/>
      <c r="K16" s="46">
        <v>1</v>
      </c>
      <c r="M16" s="17"/>
      <c r="N16" s="18"/>
      <c r="O16" s="18"/>
      <c r="P16" s="18"/>
      <c r="Q16" s="18"/>
      <c r="R16" s="18"/>
      <c r="S16" s="18"/>
    </row>
    <row r="17" spans="2:19" x14ac:dyDescent="0.15">
      <c r="B17" s="23" t="s">
        <v>23</v>
      </c>
      <c r="C17" s="46">
        <v>80</v>
      </c>
      <c r="D17" s="46">
        <v>80</v>
      </c>
      <c r="E17" s="46">
        <v>80</v>
      </c>
      <c r="F17" s="46">
        <v>70</v>
      </c>
      <c r="G17" s="46">
        <v>100</v>
      </c>
      <c r="H17" s="46">
        <v>70</v>
      </c>
      <c r="I17" s="46">
        <v>100</v>
      </c>
      <c r="J17" s="16"/>
      <c r="K17" s="46">
        <v>1</v>
      </c>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8"/>
      <c r="D19" s="48"/>
      <c r="E19" s="48"/>
      <c r="F19" s="48"/>
      <c r="G19" s="48"/>
      <c r="H19" s="48"/>
      <c r="I19" s="48"/>
      <c r="J19" s="16"/>
      <c r="K19" s="50"/>
      <c r="L19" s="3"/>
      <c r="M19" s="17"/>
      <c r="N19" s="18"/>
      <c r="O19" s="18"/>
      <c r="P19" s="18"/>
      <c r="Q19" s="18"/>
      <c r="R19" s="18"/>
      <c r="S19" s="18"/>
    </row>
    <row r="20" spans="2:19" x14ac:dyDescent="0.15">
      <c r="B20" s="22" t="s">
        <v>26</v>
      </c>
      <c r="C20" s="48"/>
      <c r="D20" s="48"/>
      <c r="E20" s="48"/>
      <c r="F20" s="48"/>
      <c r="G20" s="48"/>
      <c r="H20" s="48"/>
      <c r="I20" s="48"/>
      <c r="J20" s="16"/>
      <c r="K20" s="50"/>
      <c r="M20" s="17"/>
      <c r="N20" s="18"/>
      <c r="O20" s="18"/>
      <c r="P20" s="18"/>
      <c r="Q20" s="18"/>
      <c r="R20" s="18"/>
      <c r="S20" s="18"/>
    </row>
    <row r="21" spans="2:19" x14ac:dyDescent="0.15">
      <c r="B21" s="22" t="s">
        <v>27</v>
      </c>
      <c r="C21" s="48"/>
      <c r="D21" s="48"/>
      <c r="E21" s="48"/>
      <c r="F21" s="48"/>
      <c r="G21" s="48"/>
      <c r="H21" s="48"/>
      <c r="I21" s="48"/>
      <c r="J21" s="16"/>
      <c r="K21" s="50"/>
      <c r="M21" s="17"/>
      <c r="N21" s="18"/>
      <c r="O21" s="18"/>
      <c r="P21" s="18"/>
      <c r="Q21" s="18"/>
      <c r="R21" s="18"/>
      <c r="S21" s="18"/>
    </row>
    <row r="22" spans="2:19" x14ac:dyDescent="0.15">
      <c r="B22" s="22" t="s">
        <v>28</v>
      </c>
      <c r="C22" s="48"/>
      <c r="D22" s="48"/>
      <c r="E22" s="48"/>
      <c r="F22" s="48"/>
      <c r="G22" s="48"/>
      <c r="H22" s="48"/>
      <c r="I22" s="48"/>
      <c r="J22" s="16"/>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t="s">
        <v>31</v>
      </c>
      <c r="D24" s="31" t="s">
        <v>31</v>
      </c>
      <c r="E24" s="31" t="s">
        <v>31</v>
      </c>
      <c r="F24" s="31" t="s">
        <v>31</v>
      </c>
      <c r="G24" s="31" t="s">
        <v>31</v>
      </c>
      <c r="H24" s="31" t="s">
        <v>31</v>
      </c>
      <c r="I24" s="31" t="s">
        <v>31</v>
      </c>
      <c r="J24" s="30" t="s">
        <v>61</v>
      </c>
      <c r="K24" s="50">
        <v>6</v>
      </c>
      <c r="M24" s="17"/>
      <c r="N24" s="18"/>
      <c r="O24" s="18"/>
      <c r="P24" s="18"/>
      <c r="Q24" s="18"/>
      <c r="R24" s="18"/>
      <c r="S24" s="18"/>
    </row>
    <row r="25" spans="2:19" x14ac:dyDescent="0.15">
      <c r="B25" s="22" t="s">
        <v>33</v>
      </c>
      <c r="C25" s="31" t="s">
        <v>31</v>
      </c>
      <c r="D25" s="31" t="s">
        <v>31</v>
      </c>
      <c r="E25" s="31" t="s">
        <v>31</v>
      </c>
      <c r="F25" s="31" t="s">
        <v>31</v>
      </c>
      <c r="G25" s="31" t="s">
        <v>31</v>
      </c>
      <c r="H25" s="31" t="s">
        <v>31</v>
      </c>
      <c r="I25" s="31" t="s">
        <v>31</v>
      </c>
      <c r="J25" s="30" t="s">
        <v>61</v>
      </c>
      <c r="K25" s="50">
        <v>6</v>
      </c>
      <c r="M25" s="17"/>
      <c r="N25" s="18"/>
      <c r="O25" s="18"/>
      <c r="P25" s="18"/>
      <c r="Q25" s="18"/>
      <c r="R25" s="18"/>
      <c r="S25" s="18"/>
    </row>
    <row r="26" spans="2:19" ht="15" customHeight="1" x14ac:dyDescent="0.15">
      <c r="B26" s="22" t="s">
        <v>34</v>
      </c>
      <c r="C26" s="31" t="s">
        <v>31</v>
      </c>
      <c r="D26" s="31" t="s">
        <v>31</v>
      </c>
      <c r="E26" s="31" t="s">
        <v>31</v>
      </c>
      <c r="F26" s="31" t="s">
        <v>31</v>
      </c>
      <c r="G26" s="31" t="s">
        <v>31</v>
      </c>
      <c r="H26" s="31" t="s">
        <v>31</v>
      </c>
      <c r="I26" s="31" t="s">
        <v>31</v>
      </c>
      <c r="J26" s="32" t="s">
        <v>61</v>
      </c>
      <c r="K26" s="50">
        <v>6</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t="s">
        <v>61</v>
      </c>
      <c r="K27" s="16">
        <v>6</v>
      </c>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t="s">
        <v>61</v>
      </c>
      <c r="K28" s="16">
        <v>6</v>
      </c>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5</v>
      </c>
      <c r="D30" s="64">
        <f>C30*0.86</f>
        <v>4.3</v>
      </c>
      <c r="E30" s="64">
        <f>C30*0.71</f>
        <v>3.55</v>
      </c>
      <c r="F30" s="14">
        <f>C30*0.75</f>
        <v>3.75</v>
      </c>
      <c r="G30" s="14">
        <f>C30*1.25</f>
        <v>6.25</v>
      </c>
      <c r="H30" s="49">
        <v>1.7</v>
      </c>
      <c r="I30" s="64">
        <v>4.55</v>
      </c>
      <c r="J30" s="16" t="s">
        <v>79</v>
      </c>
      <c r="K30" s="50" t="s">
        <v>70</v>
      </c>
      <c r="M30" s="17"/>
      <c r="N30" s="35"/>
      <c r="O30" s="35"/>
      <c r="P30" s="35"/>
      <c r="Q30" s="35"/>
      <c r="R30" s="18"/>
      <c r="S30" s="18"/>
    </row>
    <row r="31" spans="2:19" x14ac:dyDescent="0.15">
      <c r="B31" s="22" t="s">
        <v>40</v>
      </c>
      <c r="C31" s="56">
        <v>0.6</v>
      </c>
      <c r="D31" s="56">
        <v>0.6</v>
      </c>
      <c r="E31" s="56">
        <v>0.6</v>
      </c>
      <c r="F31" s="56">
        <v>0.4</v>
      </c>
      <c r="G31" s="56">
        <v>0.7</v>
      </c>
      <c r="H31" s="56">
        <v>0.4</v>
      </c>
      <c r="I31" s="56">
        <v>0.7</v>
      </c>
      <c r="J31" s="16"/>
      <c r="K31" s="16">
        <v>3</v>
      </c>
      <c r="M31" s="17"/>
      <c r="N31" s="35"/>
      <c r="O31" s="35"/>
      <c r="P31" s="35"/>
      <c r="Q31" s="35"/>
      <c r="R31" s="18"/>
      <c r="S31" s="18"/>
    </row>
    <row r="32" spans="2:19" x14ac:dyDescent="0.15">
      <c r="B32" s="22" t="s">
        <v>41</v>
      </c>
      <c r="C32" s="56">
        <v>0.4</v>
      </c>
      <c r="D32" s="56">
        <v>0.4</v>
      </c>
      <c r="E32" s="56">
        <v>0.4</v>
      </c>
      <c r="F32" s="56">
        <v>0.3</v>
      </c>
      <c r="G32" s="56">
        <v>0.5</v>
      </c>
      <c r="H32" s="56">
        <v>0.3</v>
      </c>
      <c r="I32" s="56">
        <v>0.5</v>
      </c>
      <c r="J32" s="16"/>
      <c r="K32" s="16">
        <v>3</v>
      </c>
      <c r="M32" s="17"/>
      <c r="N32" s="35"/>
      <c r="O32" s="35"/>
      <c r="P32" s="35"/>
      <c r="Q32" s="35"/>
      <c r="R32" s="18"/>
      <c r="S32" s="18"/>
    </row>
    <row r="33" spans="1:19" x14ac:dyDescent="0.15">
      <c r="B33" s="22" t="s">
        <v>42</v>
      </c>
      <c r="C33" s="48">
        <f>'Geothermal - large'!C33*1.3</f>
        <v>65000</v>
      </c>
      <c r="D33" s="48">
        <f>MROUND(C33*0.86,100)</f>
        <v>55900</v>
      </c>
      <c r="E33" s="48">
        <f>MROUND(C33*0.71,100)</f>
        <v>46200</v>
      </c>
      <c r="F33" s="48">
        <f>MROUND(C33*0.75,100)</f>
        <v>48800</v>
      </c>
      <c r="G33" s="48">
        <f>MROUND(C33*1.25,100)</f>
        <v>81300</v>
      </c>
      <c r="H33" s="48">
        <f>MROUND(E33*0.75,100)</f>
        <v>34700</v>
      </c>
      <c r="I33" s="48">
        <f>MROUND(E33*1.25,100)</f>
        <v>57800</v>
      </c>
      <c r="J33" s="16" t="s">
        <v>71</v>
      </c>
      <c r="K33" s="50" t="s">
        <v>44</v>
      </c>
      <c r="M33" s="17"/>
      <c r="N33" s="35"/>
      <c r="O33" s="35"/>
      <c r="P33" s="35"/>
      <c r="Q33" s="35"/>
      <c r="R33" s="18"/>
      <c r="S33" s="18"/>
    </row>
    <row r="34" spans="1:19" x14ac:dyDescent="0.15">
      <c r="B34" s="22" t="s">
        <v>45</v>
      </c>
      <c r="C34" s="49">
        <v>0.37</v>
      </c>
      <c r="D34" s="58">
        <f>C34*0.86</f>
        <v>0.31819999999999998</v>
      </c>
      <c r="E34" s="58">
        <f>C34*0.71</f>
        <v>0.26269999999999999</v>
      </c>
      <c r="F34" s="49">
        <f>C34*0.75</f>
        <v>0.27749999999999997</v>
      </c>
      <c r="G34" s="49">
        <f>C34*1.25</f>
        <v>0.46250000000000002</v>
      </c>
      <c r="H34" s="49">
        <f>E34*0.75</f>
        <v>0.19702500000000001</v>
      </c>
      <c r="I34" s="51">
        <f>E34*1.25</f>
        <v>0.32837499999999997</v>
      </c>
      <c r="J34" s="16" t="s">
        <v>71</v>
      </c>
      <c r="K34" s="50" t="s">
        <v>44</v>
      </c>
      <c r="M34" s="17"/>
      <c r="N34" s="35"/>
      <c r="O34" s="35"/>
      <c r="P34" s="35"/>
      <c r="Q34" s="35"/>
      <c r="R34" s="18"/>
      <c r="S34" s="18"/>
    </row>
    <row r="35" spans="1:19" x14ac:dyDescent="0.15">
      <c r="B35" s="22" t="s">
        <v>46</v>
      </c>
      <c r="C35" s="47" t="s">
        <v>31</v>
      </c>
      <c r="D35" s="47" t="s">
        <v>31</v>
      </c>
      <c r="E35" s="47" t="s">
        <v>31</v>
      </c>
      <c r="F35" s="47" t="s">
        <v>31</v>
      </c>
      <c r="G35" s="47" t="s">
        <v>31</v>
      </c>
      <c r="H35" s="47" t="s">
        <v>31</v>
      </c>
      <c r="I35" s="36" t="s">
        <v>31</v>
      </c>
      <c r="J35" s="16"/>
      <c r="K35" s="50"/>
      <c r="M35" s="261"/>
      <c r="N35" s="261"/>
      <c r="O35" s="261"/>
      <c r="P35" s="261"/>
      <c r="Q35" s="261"/>
      <c r="R35" s="261"/>
      <c r="S35" s="261"/>
    </row>
    <row r="36" spans="1:19" x14ac:dyDescent="0.15">
      <c r="B36" s="37" t="s">
        <v>47</v>
      </c>
      <c r="C36" s="38"/>
      <c r="D36" s="38"/>
      <c r="E36" s="38"/>
      <c r="F36" s="38"/>
      <c r="G36" s="38"/>
      <c r="H36" s="38"/>
      <c r="I36" s="38"/>
      <c r="J36" s="38"/>
      <c r="K36" s="39"/>
      <c r="N36" s="18"/>
      <c r="O36" s="18"/>
      <c r="P36" s="18"/>
      <c r="Q36" s="18"/>
      <c r="R36" s="18"/>
      <c r="S36" s="18"/>
    </row>
    <row r="37" spans="1:19" ht="15" customHeight="1" x14ac:dyDescent="0.15">
      <c r="B37" s="13" t="s">
        <v>48</v>
      </c>
      <c r="C37" s="51">
        <v>0.15</v>
      </c>
      <c r="D37" s="51">
        <v>0.15</v>
      </c>
      <c r="E37" s="51">
        <v>0.15</v>
      </c>
      <c r="F37" s="51">
        <v>0.1</v>
      </c>
      <c r="G37" s="51">
        <v>0.2</v>
      </c>
      <c r="H37" s="51">
        <v>0.1</v>
      </c>
      <c r="I37" s="51">
        <v>0.2</v>
      </c>
      <c r="J37" s="54"/>
      <c r="K37" s="36">
        <v>7</v>
      </c>
      <c r="N37" s="18"/>
      <c r="O37" s="18"/>
      <c r="P37" s="18"/>
      <c r="Q37" s="18"/>
      <c r="R37" s="18"/>
      <c r="S37" s="18"/>
    </row>
    <row r="38" spans="1:19" ht="15" customHeight="1" x14ac:dyDescent="0.15">
      <c r="B38" s="13" t="s">
        <v>49</v>
      </c>
      <c r="C38" s="51">
        <v>0.15</v>
      </c>
      <c r="D38" s="51">
        <v>0.15</v>
      </c>
      <c r="E38" s="51">
        <v>0.15</v>
      </c>
      <c r="F38" s="51">
        <v>0.1</v>
      </c>
      <c r="G38" s="51">
        <v>0.2</v>
      </c>
      <c r="H38" s="51">
        <v>0.1</v>
      </c>
      <c r="I38" s="51">
        <v>0.2</v>
      </c>
      <c r="J38" s="54"/>
      <c r="K38" s="36">
        <v>7</v>
      </c>
      <c r="N38" s="18"/>
      <c r="O38" s="18"/>
      <c r="P38" s="18"/>
      <c r="Q38" s="18"/>
      <c r="R38" s="18"/>
      <c r="S38" s="18"/>
    </row>
    <row r="39" spans="1:19" x14ac:dyDescent="0.15">
      <c r="A39" s="3"/>
      <c r="L39" s="4"/>
    </row>
    <row r="40" spans="1:19" s="1" customFormat="1" ht="12" x14ac:dyDescent="0.15">
      <c r="A40" s="3" t="s">
        <v>50</v>
      </c>
      <c r="C40" s="40"/>
      <c r="D40" s="40"/>
      <c r="E40" s="40"/>
      <c r="F40" s="40"/>
      <c r="G40" s="40"/>
    </row>
    <row r="41" spans="1:19" x14ac:dyDescent="0.15">
      <c r="A41" s="53">
        <v>1</v>
      </c>
      <c r="B41" s="53" t="s">
        <v>51</v>
      </c>
    </row>
    <row r="42" spans="1:19" x14ac:dyDescent="0.15">
      <c r="A42" s="53">
        <v>2</v>
      </c>
      <c r="B42" s="53" t="s">
        <v>72</v>
      </c>
    </row>
    <row r="43" spans="1:19" s="1" customFormat="1" x14ac:dyDescent="0.15">
      <c r="A43" s="53">
        <v>3</v>
      </c>
      <c r="B43" s="53" t="s">
        <v>53</v>
      </c>
      <c r="M43" s="4"/>
      <c r="N43" s="4"/>
      <c r="O43" s="4"/>
      <c r="P43" s="4"/>
      <c r="Q43" s="4"/>
      <c r="R43" s="4"/>
      <c r="S43" s="4"/>
    </row>
    <row r="44" spans="1:19" s="1" customFormat="1" x14ac:dyDescent="0.15">
      <c r="A44" s="53">
        <v>4</v>
      </c>
      <c r="B44" s="53" t="s">
        <v>54</v>
      </c>
      <c r="M44" s="4"/>
      <c r="N44" s="4"/>
      <c r="O44" s="4"/>
      <c r="P44" s="4"/>
      <c r="Q44" s="4"/>
      <c r="R44" s="4"/>
      <c r="S44" s="4"/>
    </row>
    <row r="45" spans="1:19" s="1" customFormat="1" x14ac:dyDescent="0.15">
      <c r="A45" s="53">
        <v>5</v>
      </c>
      <c r="B45" s="53" t="s">
        <v>55</v>
      </c>
      <c r="M45" s="4"/>
      <c r="N45" s="4"/>
      <c r="O45" s="4"/>
      <c r="P45" s="4"/>
      <c r="Q45" s="4"/>
      <c r="R45" s="4"/>
      <c r="S45" s="4"/>
    </row>
    <row r="46" spans="1:19" s="1" customFormat="1" x14ac:dyDescent="0.15">
      <c r="A46" s="53">
        <v>6</v>
      </c>
      <c r="B46" s="53" t="s">
        <v>56</v>
      </c>
      <c r="M46" s="4"/>
      <c r="N46" s="4"/>
      <c r="O46" s="4"/>
      <c r="P46" s="4"/>
      <c r="Q46" s="4"/>
      <c r="R46" s="4"/>
      <c r="S46" s="4"/>
    </row>
    <row r="47" spans="1:19" s="1" customFormat="1" x14ac:dyDescent="0.15">
      <c r="A47" s="53">
        <v>7</v>
      </c>
      <c r="B47" s="53" t="s">
        <v>57</v>
      </c>
      <c r="M47" s="4"/>
      <c r="N47" s="4"/>
      <c r="O47" s="4"/>
      <c r="P47" s="4"/>
      <c r="Q47" s="4"/>
      <c r="R47" s="4"/>
      <c r="S47" s="4"/>
    </row>
    <row r="48" spans="1:19" s="1" customFormat="1" x14ac:dyDescent="0.15">
      <c r="A48" s="53">
        <v>8</v>
      </c>
      <c r="B48" s="53" t="s">
        <v>73</v>
      </c>
      <c r="M48" s="4"/>
      <c r="N48" s="4"/>
      <c r="O48" s="4"/>
      <c r="P48" s="4"/>
      <c r="Q48" s="4"/>
      <c r="R48" s="4"/>
      <c r="S48" s="4"/>
    </row>
    <row r="49" spans="1:19" s="1" customFormat="1" x14ac:dyDescent="0.15">
      <c r="A49" s="3" t="s">
        <v>59</v>
      </c>
      <c r="M49" s="4"/>
      <c r="N49" s="4"/>
      <c r="O49" s="4"/>
      <c r="P49" s="4"/>
      <c r="Q49" s="4"/>
      <c r="R49" s="4"/>
      <c r="S49" s="4"/>
    </row>
    <row r="50" spans="1:19" s="1" customFormat="1" ht="27" customHeight="1" x14ac:dyDescent="0.15">
      <c r="A50" s="52" t="s">
        <v>13</v>
      </c>
      <c r="B50" s="255" t="s">
        <v>74</v>
      </c>
      <c r="C50" s="255"/>
      <c r="D50" s="255"/>
      <c r="E50" s="255"/>
      <c r="F50" s="255"/>
      <c r="G50" s="255"/>
      <c r="H50" s="255"/>
      <c r="I50" s="255"/>
      <c r="J50" s="255"/>
      <c r="K50" s="255"/>
      <c r="M50" s="4"/>
      <c r="N50" s="4"/>
      <c r="O50" s="4"/>
      <c r="P50" s="4"/>
      <c r="Q50" s="4"/>
      <c r="R50" s="4"/>
      <c r="S50" s="4"/>
    </row>
    <row r="51" spans="1:19" s="1" customFormat="1" ht="13.5" customHeight="1" x14ac:dyDescent="0.15">
      <c r="A51" s="59" t="s">
        <v>61</v>
      </c>
      <c r="B51" s="262" t="s">
        <v>63</v>
      </c>
      <c r="C51" s="262"/>
      <c r="D51" s="262"/>
      <c r="E51" s="262"/>
      <c r="F51" s="262"/>
      <c r="G51" s="262"/>
      <c r="H51" s="262"/>
      <c r="I51" s="262"/>
      <c r="J51" s="262"/>
      <c r="K51" s="262"/>
      <c r="M51" s="4"/>
      <c r="N51" s="4"/>
      <c r="O51" s="4"/>
      <c r="P51" s="4"/>
      <c r="Q51" s="4"/>
      <c r="R51" s="4"/>
      <c r="S51" s="4"/>
    </row>
    <row r="52" spans="1:19" s="1" customFormat="1" x14ac:dyDescent="0.15">
      <c r="A52" s="52" t="s">
        <v>32</v>
      </c>
      <c r="B52" s="255" t="s">
        <v>75</v>
      </c>
      <c r="C52" s="255"/>
      <c r="D52" s="255"/>
      <c r="E52" s="255"/>
      <c r="F52" s="255"/>
      <c r="G52" s="255"/>
      <c r="H52" s="255"/>
      <c r="I52" s="255"/>
      <c r="J52" s="255"/>
      <c r="K52" s="255"/>
      <c r="M52" s="4"/>
      <c r="N52" s="4"/>
      <c r="O52" s="4"/>
      <c r="P52" s="4"/>
      <c r="Q52" s="4"/>
      <c r="R52" s="4"/>
      <c r="S52" s="4"/>
    </row>
    <row r="53" spans="1:19" s="1" customFormat="1" x14ac:dyDescent="0.15">
      <c r="A53" s="52" t="s">
        <v>64</v>
      </c>
      <c r="B53" s="53" t="s">
        <v>67</v>
      </c>
      <c r="C53" s="53"/>
      <c r="D53" s="53"/>
      <c r="E53" s="53"/>
      <c r="F53" s="53"/>
      <c r="G53" s="53"/>
      <c r="H53" s="53"/>
      <c r="I53" s="53"/>
      <c r="J53" s="53"/>
      <c r="K53" s="53"/>
      <c r="M53" s="4"/>
      <c r="N53" s="4"/>
      <c r="O53" s="4"/>
      <c r="P53" s="4"/>
      <c r="Q53" s="4"/>
      <c r="R53" s="4"/>
      <c r="S53" s="4"/>
    </row>
    <row r="54" spans="1:19" s="1" customFormat="1" x14ac:dyDescent="0.15">
      <c r="A54" s="52" t="s">
        <v>66</v>
      </c>
      <c r="B54" s="53" t="s">
        <v>76</v>
      </c>
      <c r="C54" s="53"/>
      <c r="D54" s="53"/>
      <c r="E54" s="53"/>
      <c r="F54" s="53"/>
      <c r="G54" s="53"/>
      <c r="H54" s="53"/>
      <c r="I54" s="53"/>
      <c r="J54" s="53"/>
      <c r="K54" s="53"/>
      <c r="M54" s="4"/>
      <c r="N54" s="4"/>
      <c r="O54" s="4"/>
      <c r="P54" s="4"/>
      <c r="Q54" s="4"/>
      <c r="R54" s="4"/>
      <c r="S54" s="4"/>
    </row>
    <row r="55" spans="1:19" s="1" customFormat="1" ht="41.25" customHeight="1" x14ac:dyDescent="0.15">
      <c r="A55" s="59" t="s">
        <v>77</v>
      </c>
      <c r="B55" s="262" t="s">
        <v>80</v>
      </c>
      <c r="C55" s="262"/>
      <c r="D55" s="262"/>
      <c r="E55" s="262"/>
      <c r="F55" s="262"/>
      <c r="G55" s="262"/>
      <c r="H55" s="262"/>
      <c r="I55" s="262"/>
      <c r="J55" s="262"/>
      <c r="K55" s="262"/>
      <c r="M55" s="4"/>
      <c r="N55" s="4"/>
      <c r="O55" s="4"/>
      <c r="P55" s="4"/>
      <c r="Q55" s="4"/>
      <c r="R55" s="4"/>
      <c r="S55" s="4"/>
    </row>
    <row r="56" spans="1:19" s="1" customFormat="1" x14ac:dyDescent="0.15">
      <c r="A56" s="41"/>
      <c r="M56" s="4"/>
      <c r="N56" s="4"/>
      <c r="O56" s="4"/>
      <c r="P56" s="4"/>
      <c r="Q56" s="4"/>
      <c r="R56" s="4"/>
      <c r="S56" s="4"/>
    </row>
    <row r="57" spans="1:19" s="1" customFormat="1" x14ac:dyDescent="0.15">
      <c r="A57" s="41"/>
      <c r="M57" s="4"/>
      <c r="N57" s="4"/>
      <c r="O57" s="4"/>
      <c r="P57" s="4"/>
      <c r="Q57" s="4"/>
      <c r="R57" s="4"/>
      <c r="S57" s="4"/>
    </row>
  </sheetData>
  <mergeCells count="13">
    <mergeCell ref="B55:K55"/>
    <mergeCell ref="M23:S23"/>
    <mergeCell ref="M28:S28"/>
    <mergeCell ref="M35:S35"/>
    <mergeCell ref="B50:K50"/>
    <mergeCell ref="B52:K52"/>
    <mergeCell ref="B51:K51"/>
    <mergeCell ref="N6:S6"/>
    <mergeCell ref="C3:K3"/>
    <mergeCell ref="N3:S3"/>
    <mergeCell ref="F4:G4"/>
    <mergeCell ref="H4:I4"/>
    <mergeCell ref="M5:S5"/>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ignoredErrors>
    <ignoredError sqref="G30 G33:G34 H31:H34"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81FC1-9E9F-49DA-B378-F316D75ADC99}">
  <sheetPr>
    <tabColor theme="9" tint="0.79998168889431442"/>
  </sheetPr>
  <dimension ref="A1:S56"/>
  <sheetViews>
    <sheetView topLeftCell="A2" zoomScale="85" zoomScaleNormal="85" zoomScaleSheetLayoutView="120" workbookViewId="0">
      <selection activeCell="G63" sqref="G63"/>
    </sheetView>
  </sheetViews>
  <sheetFormatPr baseColWidth="10" defaultColWidth="9.1640625" defaultRowHeight="14" x14ac:dyDescent="0.15"/>
  <cols>
    <col min="1" max="1" width="3" style="1" customWidth="1"/>
    <col min="2" max="2" width="35.1640625" style="1" customWidth="1"/>
    <col min="3" max="3" width="9.1640625" style="1" customWidth="1"/>
    <col min="4"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392</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600</v>
      </c>
      <c r="D6" s="47">
        <v>600</v>
      </c>
      <c r="E6" s="47">
        <v>600</v>
      </c>
      <c r="F6" s="47">
        <v>200</v>
      </c>
      <c r="G6" s="47">
        <v>800</v>
      </c>
      <c r="H6" s="47">
        <v>200</v>
      </c>
      <c r="I6" s="47">
        <v>800</v>
      </c>
      <c r="J6" s="15"/>
      <c r="K6" s="50">
        <v>1</v>
      </c>
      <c r="M6" s="17"/>
      <c r="N6" s="253"/>
      <c r="O6" s="254"/>
      <c r="P6" s="254"/>
      <c r="Q6" s="254"/>
      <c r="R6" s="254"/>
      <c r="S6" s="254"/>
    </row>
    <row r="7" spans="2:19" ht="21" customHeight="1" x14ac:dyDescent="0.15">
      <c r="B7" s="13" t="s">
        <v>11</v>
      </c>
      <c r="C7" s="47">
        <v>600</v>
      </c>
      <c r="D7" s="47">
        <v>600</v>
      </c>
      <c r="E7" s="47">
        <v>600</v>
      </c>
      <c r="F7" s="47">
        <v>200</v>
      </c>
      <c r="G7" s="47">
        <v>800</v>
      </c>
      <c r="H7" s="47">
        <v>200</v>
      </c>
      <c r="I7" s="47">
        <v>800</v>
      </c>
      <c r="J7" s="15"/>
      <c r="K7" s="50">
        <v>1</v>
      </c>
      <c r="M7" s="17"/>
      <c r="N7" s="60"/>
      <c r="O7" s="61"/>
      <c r="P7" s="61"/>
      <c r="Q7" s="61"/>
      <c r="R7" s="61"/>
      <c r="S7" s="61"/>
    </row>
    <row r="8" spans="2:19" ht="21" customHeight="1" x14ac:dyDescent="0.15">
      <c r="B8" s="13" t="s">
        <v>12</v>
      </c>
      <c r="C8" s="47">
        <v>57</v>
      </c>
      <c r="D8" s="47">
        <v>60</v>
      </c>
      <c r="E8" s="47">
        <v>61</v>
      </c>
      <c r="F8" s="47">
        <v>45</v>
      </c>
      <c r="G8" s="47">
        <v>62</v>
      </c>
      <c r="H8" s="47">
        <v>55</v>
      </c>
      <c r="I8" s="47">
        <v>65</v>
      </c>
      <c r="J8" s="15"/>
      <c r="K8" s="46" t="s">
        <v>393</v>
      </c>
      <c r="M8" s="17"/>
      <c r="N8" s="18"/>
      <c r="O8" s="18"/>
      <c r="P8" s="18"/>
      <c r="Q8" s="18"/>
      <c r="R8" s="18"/>
      <c r="S8" s="18"/>
    </row>
    <row r="9" spans="2:19" ht="24.75" customHeight="1" x14ac:dyDescent="0.15">
      <c r="B9" s="19" t="s">
        <v>14</v>
      </c>
      <c r="C9" s="47">
        <v>56</v>
      </c>
      <c r="D9" s="47">
        <v>59</v>
      </c>
      <c r="E9" s="47">
        <v>60</v>
      </c>
      <c r="F9" s="47">
        <v>39</v>
      </c>
      <c r="G9" s="47">
        <v>61</v>
      </c>
      <c r="H9" s="47">
        <v>54</v>
      </c>
      <c r="I9" s="47">
        <v>64</v>
      </c>
      <c r="J9" s="20"/>
      <c r="K9" s="46"/>
      <c r="M9" s="17"/>
      <c r="N9" s="18"/>
      <c r="O9" s="18"/>
      <c r="P9" s="18"/>
      <c r="Q9" s="18"/>
      <c r="R9" s="18"/>
      <c r="S9" s="18"/>
    </row>
    <row r="10" spans="2:19" x14ac:dyDescent="0.15">
      <c r="B10" s="13" t="s">
        <v>15</v>
      </c>
      <c r="C10" s="47">
        <v>5</v>
      </c>
      <c r="D10" s="47">
        <v>5</v>
      </c>
      <c r="E10" s="47">
        <v>5</v>
      </c>
      <c r="F10" s="47">
        <v>3</v>
      </c>
      <c r="G10" s="47">
        <v>10</v>
      </c>
      <c r="H10" s="47">
        <v>3</v>
      </c>
      <c r="I10" s="47">
        <v>10</v>
      </c>
      <c r="J10" s="15"/>
      <c r="K10" s="50">
        <v>1</v>
      </c>
      <c r="M10" s="1"/>
      <c r="N10" s="21"/>
      <c r="O10" s="21"/>
      <c r="P10" s="21"/>
      <c r="Q10" s="21"/>
      <c r="R10" s="21"/>
      <c r="S10" s="18"/>
    </row>
    <row r="11" spans="2:19" x14ac:dyDescent="0.15">
      <c r="B11" s="22" t="s">
        <v>16</v>
      </c>
      <c r="C11" s="47">
        <v>5</v>
      </c>
      <c r="D11" s="47">
        <v>5</v>
      </c>
      <c r="E11" s="47">
        <v>5</v>
      </c>
      <c r="F11" s="47">
        <v>3</v>
      </c>
      <c r="G11" s="47">
        <v>8</v>
      </c>
      <c r="H11" s="47">
        <v>3</v>
      </c>
      <c r="I11" s="47">
        <v>8</v>
      </c>
      <c r="J11" s="15"/>
      <c r="K11" s="50">
        <v>1</v>
      </c>
      <c r="M11" s="1"/>
      <c r="N11" s="21"/>
      <c r="O11" s="21"/>
      <c r="P11" s="21"/>
      <c r="Q11" s="21"/>
      <c r="R11" s="21"/>
      <c r="S11" s="18"/>
    </row>
    <row r="12" spans="2:19" x14ac:dyDescent="0.15">
      <c r="B12" s="22" t="s">
        <v>17</v>
      </c>
      <c r="C12" s="47">
        <v>25</v>
      </c>
      <c r="D12" s="47">
        <v>25</v>
      </c>
      <c r="E12" s="47">
        <v>25</v>
      </c>
      <c r="F12" s="47">
        <v>20</v>
      </c>
      <c r="G12" s="47">
        <v>30</v>
      </c>
      <c r="H12" s="47">
        <v>20</v>
      </c>
      <c r="I12" s="47">
        <v>30</v>
      </c>
      <c r="J12" s="15"/>
      <c r="K12" s="50">
        <v>1</v>
      </c>
      <c r="M12" s="17"/>
      <c r="N12" s="18"/>
      <c r="O12" s="18"/>
      <c r="P12" s="18"/>
      <c r="Q12" s="18"/>
      <c r="R12" s="18"/>
      <c r="S12" s="18"/>
    </row>
    <row r="13" spans="2:19" x14ac:dyDescent="0.15">
      <c r="B13" s="22" t="s">
        <v>18</v>
      </c>
      <c r="C13" s="14">
        <v>2.5</v>
      </c>
      <c r="D13" s="14">
        <v>2.5</v>
      </c>
      <c r="E13" s="14">
        <v>2.5</v>
      </c>
      <c r="F13" s="15">
        <v>2</v>
      </c>
      <c r="G13" s="15">
        <v>3</v>
      </c>
      <c r="H13" s="15">
        <v>2</v>
      </c>
      <c r="I13" s="47">
        <v>3</v>
      </c>
      <c r="J13" s="15"/>
      <c r="K13" s="50">
        <v>1</v>
      </c>
      <c r="M13" s="17"/>
      <c r="N13" s="18"/>
      <c r="O13" s="18"/>
      <c r="P13" s="18"/>
      <c r="Q13" s="18"/>
      <c r="R13" s="18"/>
      <c r="S13" s="18"/>
    </row>
    <row r="14" spans="2:19" x14ac:dyDescent="0.15">
      <c r="B14" s="23" t="s">
        <v>20</v>
      </c>
      <c r="C14" s="47" t="s">
        <v>31</v>
      </c>
      <c r="D14" s="47" t="s">
        <v>31</v>
      </c>
      <c r="E14" s="47" t="s">
        <v>31</v>
      </c>
      <c r="F14" s="47" t="s">
        <v>31</v>
      </c>
      <c r="G14" s="47" t="s">
        <v>31</v>
      </c>
      <c r="H14" s="47" t="s">
        <v>31</v>
      </c>
      <c r="I14" s="47" t="s">
        <v>31</v>
      </c>
      <c r="J14" s="15"/>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7" t="s">
        <v>31</v>
      </c>
      <c r="D16" s="47" t="s">
        <v>31</v>
      </c>
      <c r="E16" s="47" t="s">
        <v>31</v>
      </c>
      <c r="F16" s="47" t="s">
        <v>31</v>
      </c>
      <c r="G16" s="47" t="s">
        <v>31</v>
      </c>
      <c r="H16" s="47" t="s">
        <v>31</v>
      </c>
      <c r="I16" s="47" t="s">
        <v>31</v>
      </c>
      <c r="J16" s="15"/>
      <c r="K16" s="46"/>
      <c r="M16" s="17"/>
      <c r="N16" s="18"/>
      <c r="O16" s="18"/>
      <c r="P16" s="18"/>
      <c r="Q16" s="18"/>
      <c r="R16" s="18"/>
      <c r="S16" s="18"/>
    </row>
    <row r="17" spans="2:19" x14ac:dyDescent="0.15">
      <c r="B17" s="23" t="s">
        <v>23</v>
      </c>
      <c r="C17" s="47" t="s">
        <v>31</v>
      </c>
      <c r="D17" s="47" t="s">
        <v>31</v>
      </c>
      <c r="E17" s="47" t="s">
        <v>31</v>
      </c>
      <c r="F17" s="47" t="s">
        <v>31</v>
      </c>
      <c r="G17" s="47" t="s">
        <v>31</v>
      </c>
      <c r="H17" s="47" t="s">
        <v>31</v>
      </c>
      <c r="I17" s="47" t="s">
        <v>31</v>
      </c>
      <c r="J17" s="15"/>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20</v>
      </c>
      <c r="D19" s="47">
        <v>20</v>
      </c>
      <c r="E19" s="47">
        <v>20</v>
      </c>
      <c r="F19" s="47">
        <v>10</v>
      </c>
      <c r="G19" s="47">
        <v>30</v>
      </c>
      <c r="H19" s="47">
        <v>10</v>
      </c>
      <c r="I19" s="46">
        <v>30</v>
      </c>
      <c r="J19" s="16" t="s">
        <v>32</v>
      </c>
      <c r="K19" s="50" t="s">
        <v>135</v>
      </c>
      <c r="L19" s="3"/>
      <c r="M19" s="17"/>
      <c r="N19" s="18"/>
      <c r="O19" s="18"/>
      <c r="P19" s="18"/>
      <c r="Q19" s="18"/>
      <c r="R19" s="18"/>
      <c r="S19" s="18"/>
    </row>
    <row r="20" spans="2:19" x14ac:dyDescent="0.15">
      <c r="B20" s="22" t="s">
        <v>26</v>
      </c>
      <c r="C20" s="47">
        <v>45</v>
      </c>
      <c r="D20" s="47">
        <v>30</v>
      </c>
      <c r="E20" s="47">
        <v>15</v>
      </c>
      <c r="F20" s="47">
        <v>30</v>
      </c>
      <c r="G20" s="47">
        <v>50</v>
      </c>
      <c r="H20" s="47">
        <v>10</v>
      </c>
      <c r="I20" s="46">
        <v>40</v>
      </c>
      <c r="J20" s="16" t="s">
        <v>13</v>
      </c>
      <c r="K20" s="50">
        <v>5</v>
      </c>
      <c r="M20" s="17"/>
      <c r="N20" s="18"/>
      <c r="O20" s="18"/>
      <c r="P20" s="18"/>
      <c r="Q20" s="18"/>
      <c r="R20" s="18"/>
      <c r="S20" s="18"/>
    </row>
    <row r="21" spans="2:19" x14ac:dyDescent="0.15">
      <c r="B21" s="22" t="s">
        <v>27</v>
      </c>
      <c r="C21" s="47">
        <v>2</v>
      </c>
      <c r="D21" s="47">
        <v>1</v>
      </c>
      <c r="E21" s="47">
        <v>1</v>
      </c>
      <c r="F21" s="47">
        <v>1</v>
      </c>
      <c r="G21" s="47">
        <v>3</v>
      </c>
      <c r="H21" s="14">
        <v>0.5</v>
      </c>
      <c r="I21" s="46">
        <v>2</v>
      </c>
      <c r="J21" s="16" t="s">
        <v>13</v>
      </c>
      <c r="K21" s="50" t="s">
        <v>19</v>
      </c>
      <c r="M21" s="17"/>
      <c r="N21" s="18"/>
      <c r="O21" s="18"/>
      <c r="P21" s="18"/>
      <c r="Q21" s="18"/>
      <c r="R21" s="18"/>
      <c r="S21" s="18"/>
    </row>
    <row r="22" spans="2:19" x14ac:dyDescent="0.15">
      <c r="B22" s="22" t="s">
        <v>28</v>
      </c>
      <c r="C22" s="47">
        <v>4</v>
      </c>
      <c r="D22" s="47">
        <v>4</v>
      </c>
      <c r="E22" s="47">
        <v>4</v>
      </c>
      <c r="F22" s="47">
        <v>2</v>
      </c>
      <c r="G22" s="47">
        <v>5</v>
      </c>
      <c r="H22" s="47">
        <v>2</v>
      </c>
      <c r="I22" s="47">
        <v>5</v>
      </c>
      <c r="J22" s="16"/>
      <c r="K22" s="50" t="s">
        <v>19</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285</v>
      </c>
      <c r="C24" s="31">
        <v>30</v>
      </c>
      <c r="D24" s="31">
        <v>30</v>
      </c>
      <c r="E24" s="31">
        <v>30</v>
      </c>
      <c r="F24" s="31"/>
      <c r="G24" s="31"/>
      <c r="H24" s="31"/>
      <c r="I24" s="31"/>
      <c r="J24" s="30"/>
      <c r="K24" s="50"/>
      <c r="M24" s="17"/>
      <c r="N24" s="18"/>
      <c r="O24" s="18"/>
      <c r="P24" s="18"/>
      <c r="Q24" s="18"/>
      <c r="R24" s="18"/>
      <c r="S24" s="18"/>
    </row>
    <row r="25" spans="2:19" x14ac:dyDescent="0.15">
      <c r="B25" s="22" t="s">
        <v>33</v>
      </c>
      <c r="C25" s="31" t="s">
        <v>31</v>
      </c>
      <c r="D25" s="31" t="s">
        <v>31</v>
      </c>
      <c r="E25" s="31" t="s">
        <v>31</v>
      </c>
      <c r="F25" s="31" t="s">
        <v>31</v>
      </c>
      <c r="G25" s="31" t="s">
        <v>31</v>
      </c>
      <c r="H25" s="31" t="s">
        <v>31</v>
      </c>
      <c r="I25" s="31" t="s">
        <v>31</v>
      </c>
      <c r="J25" s="30" t="s">
        <v>66</v>
      </c>
      <c r="K25" s="50"/>
      <c r="M25" s="17"/>
      <c r="N25" s="18"/>
      <c r="O25" s="18"/>
      <c r="P25" s="18"/>
      <c r="Q25" s="18"/>
      <c r="R25" s="18"/>
      <c r="S25" s="18"/>
    </row>
    <row r="26" spans="2:19" ht="15" customHeight="1" x14ac:dyDescent="0.15">
      <c r="B26" s="22" t="s">
        <v>34</v>
      </c>
      <c r="C26" s="31">
        <f>320*0.27</f>
        <v>86.4</v>
      </c>
      <c r="D26" s="31">
        <v>60</v>
      </c>
      <c r="E26" s="31">
        <v>20</v>
      </c>
      <c r="F26" s="31">
        <v>20</v>
      </c>
      <c r="G26" s="31">
        <v>86</v>
      </c>
      <c r="H26" s="31">
        <v>20</v>
      </c>
      <c r="I26" s="31">
        <v>86</v>
      </c>
      <c r="J26" s="32" t="s">
        <v>289</v>
      </c>
      <c r="K26" s="50" t="s">
        <v>394</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c r="K27" s="16"/>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146" t="s">
        <v>38</v>
      </c>
      <c r="C30" s="76">
        <v>0.69</v>
      </c>
      <c r="D30" s="77">
        <f>0.95*C30</f>
        <v>0.65549999999999997</v>
      </c>
      <c r="E30" s="77">
        <f>0.88*C30</f>
        <v>0.60719999999999996</v>
      </c>
      <c r="F30" s="76">
        <v>0.65</v>
      </c>
      <c r="G30" s="49">
        <v>1</v>
      </c>
      <c r="H30" s="49">
        <v>0.55000000000000004</v>
      </c>
      <c r="I30" s="51">
        <v>0.9</v>
      </c>
      <c r="J30" s="16" t="s">
        <v>395</v>
      </c>
      <c r="K30" s="50" t="s">
        <v>396</v>
      </c>
      <c r="M30" s="17"/>
      <c r="N30" s="35"/>
      <c r="O30" s="35"/>
      <c r="P30" s="35"/>
      <c r="Q30" s="35"/>
      <c r="R30" s="18"/>
      <c r="S30" s="18"/>
    </row>
    <row r="31" spans="2:19" x14ac:dyDescent="0.15">
      <c r="B31" s="146" t="s">
        <v>117</v>
      </c>
      <c r="C31" s="83">
        <v>50</v>
      </c>
      <c r="D31" s="83">
        <v>50</v>
      </c>
      <c r="E31" s="83">
        <v>50</v>
      </c>
      <c r="F31" s="83">
        <v>50</v>
      </c>
      <c r="G31" s="36">
        <v>50</v>
      </c>
      <c r="H31" s="36">
        <v>50</v>
      </c>
      <c r="I31" s="36">
        <v>50</v>
      </c>
      <c r="J31" s="16"/>
      <c r="K31" s="16">
        <v>9</v>
      </c>
      <c r="M31" s="17"/>
      <c r="N31" s="35"/>
      <c r="O31" s="35"/>
      <c r="P31" s="35"/>
      <c r="Q31" s="35"/>
      <c r="R31" s="18"/>
      <c r="S31" s="18"/>
    </row>
    <row r="32" spans="2:19" x14ac:dyDescent="0.15">
      <c r="B32" s="146" t="s">
        <v>118</v>
      </c>
      <c r="C32" s="83">
        <v>50</v>
      </c>
      <c r="D32" s="83">
        <v>50</v>
      </c>
      <c r="E32" s="83">
        <v>50</v>
      </c>
      <c r="F32" s="83">
        <v>50</v>
      </c>
      <c r="G32" s="36">
        <v>50</v>
      </c>
      <c r="H32" s="36">
        <v>50</v>
      </c>
      <c r="I32" s="36">
        <v>50</v>
      </c>
      <c r="J32" s="16"/>
      <c r="K32" s="16">
        <v>9</v>
      </c>
      <c r="M32" s="17"/>
      <c r="N32" s="35"/>
      <c r="O32" s="35"/>
      <c r="P32" s="35"/>
      <c r="Q32" s="35"/>
      <c r="R32" s="18"/>
      <c r="S32" s="18"/>
    </row>
    <row r="33" spans="1:19" x14ac:dyDescent="0.15">
      <c r="B33" s="146" t="s">
        <v>42</v>
      </c>
      <c r="C33" s="82">
        <v>23500</v>
      </c>
      <c r="D33" s="82">
        <f>MROUND(C33*0.97,100)</f>
        <v>22800</v>
      </c>
      <c r="E33" s="82">
        <f>MROUND(C33*0.94,100)</f>
        <v>22100</v>
      </c>
      <c r="F33" s="83">
        <f>MROUND(C33*0.75,100)</f>
        <v>17600</v>
      </c>
      <c r="G33" s="36">
        <f>MROUND(C33*1.25,100)</f>
        <v>29400</v>
      </c>
      <c r="H33" s="36">
        <f>MROUND(E33*0.75,100)</f>
        <v>16600</v>
      </c>
      <c r="I33" s="36">
        <f>MROUND(E33*1.25,100)</f>
        <v>27600</v>
      </c>
      <c r="J33" s="16" t="s">
        <v>61</v>
      </c>
      <c r="K33" s="50" t="s">
        <v>291</v>
      </c>
      <c r="M33" s="17"/>
      <c r="N33" s="35"/>
      <c r="O33" s="35"/>
      <c r="P33" s="35"/>
      <c r="Q33" s="35"/>
      <c r="R33" s="18"/>
      <c r="S33" s="18"/>
    </row>
    <row r="34" spans="1:19" x14ac:dyDescent="0.15">
      <c r="B34" s="22" t="s">
        <v>45</v>
      </c>
      <c r="C34" s="49">
        <v>2.2999999999999998</v>
      </c>
      <c r="D34" s="49">
        <f>C34*0.97</f>
        <v>2.2309999999999999</v>
      </c>
      <c r="E34" s="49">
        <f>C34*0.94</f>
        <v>2.1619999999999999</v>
      </c>
      <c r="F34" s="51">
        <f>C34*0.75</f>
        <v>1.7249999999999999</v>
      </c>
      <c r="G34" s="51">
        <f>C34*1.25</f>
        <v>2.875</v>
      </c>
      <c r="H34" s="51">
        <f>E34*0.75</f>
        <v>1.6214999999999999</v>
      </c>
      <c r="I34" s="51">
        <f>E34*1.25</f>
        <v>2.7024999999999997</v>
      </c>
      <c r="J34" s="16" t="s">
        <v>61</v>
      </c>
      <c r="K34" s="50">
        <v>1</v>
      </c>
      <c r="M34" s="17"/>
      <c r="N34" s="35"/>
      <c r="O34" s="35"/>
      <c r="P34" s="35"/>
      <c r="Q34" s="35"/>
      <c r="R34" s="18"/>
      <c r="S34" s="18"/>
    </row>
    <row r="35" spans="1:19" x14ac:dyDescent="0.15">
      <c r="B35" s="22" t="s">
        <v>46</v>
      </c>
      <c r="C35" s="47">
        <v>80</v>
      </c>
      <c r="D35" s="47">
        <v>80</v>
      </c>
      <c r="E35" s="47">
        <v>80</v>
      </c>
      <c r="F35" s="36">
        <f>C35*0.75</f>
        <v>60</v>
      </c>
      <c r="G35" s="36">
        <f>C35*1.25</f>
        <v>100</v>
      </c>
      <c r="H35" s="36">
        <f>E35*0.75</f>
        <v>60</v>
      </c>
      <c r="I35" s="36">
        <f>E35*1.25</f>
        <v>100</v>
      </c>
      <c r="J35" s="16" t="s">
        <v>61</v>
      </c>
      <c r="K35" s="50">
        <v>6</v>
      </c>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row>
    <row r="39" spans="1:19" x14ac:dyDescent="0.15">
      <c r="A39" s="53">
        <v>2</v>
      </c>
      <c r="B39" s="53" t="s">
        <v>374</v>
      </c>
    </row>
    <row r="40" spans="1:19" x14ac:dyDescent="0.15">
      <c r="A40" s="53">
        <v>3</v>
      </c>
      <c r="B40" s="53" t="s">
        <v>52</v>
      </c>
    </row>
    <row r="41" spans="1:19" x14ac:dyDescent="0.15">
      <c r="A41" s="53">
        <v>4</v>
      </c>
      <c r="B41" s="53" t="s">
        <v>54</v>
      </c>
    </row>
    <row r="42" spans="1:19" x14ac:dyDescent="0.15">
      <c r="A42" s="53">
        <v>5</v>
      </c>
      <c r="B42" s="53" t="s">
        <v>397</v>
      </c>
    </row>
    <row r="43" spans="1:19" ht="26.25" customHeight="1" x14ac:dyDescent="0.15">
      <c r="A43" s="53">
        <v>6</v>
      </c>
      <c r="B43" s="269" t="s">
        <v>269</v>
      </c>
      <c r="C43" s="269"/>
      <c r="D43" s="269"/>
      <c r="E43" s="269"/>
      <c r="F43" s="269"/>
      <c r="G43" s="269"/>
      <c r="H43" s="269"/>
      <c r="I43" s="269"/>
      <c r="J43" s="269"/>
      <c r="K43" s="269"/>
    </row>
    <row r="44" spans="1:19" x14ac:dyDescent="0.15">
      <c r="A44" s="53">
        <v>7</v>
      </c>
      <c r="B44" s="1" t="s">
        <v>294</v>
      </c>
    </row>
    <row r="45" spans="1:19" x14ac:dyDescent="0.15">
      <c r="A45" s="53">
        <v>8</v>
      </c>
      <c r="B45" s="1" t="s">
        <v>398</v>
      </c>
    </row>
    <row r="46" spans="1:19" x14ac:dyDescent="0.15">
      <c r="A46" s="53">
        <v>9</v>
      </c>
      <c r="B46" s="1" t="s">
        <v>399</v>
      </c>
    </row>
    <row r="47" spans="1:19" x14ac:dyDescent="0.15">
      <c r="A47" s="53">
        <v>10</v>
      </c>
      <c r="B47" s="1" t="s">
        <v>89</v>
      </c>
    </row>
    <row r="48" spans="1:19" x14ac:dyDescent="0.15">
      <c r="A48" s="3" t="s">
        <v>59</v>
      </c>
    </row>
    <row r="49" spans="1:11" x14ac:dyDescent="0.15">
      <c r="A49" s="52" t="s">
        <v>13</v>
      </c>
      <c r="B49" s="53" t="s">
        <v>295</v>
      </c>
      <c r="C49" s="53"/>
      <c r="D49" s="53"/>
      <c r="E49" s="53"/>
      <c r="F49" s="53"/>
      <c r="G49" s="53"/>
      <c r="H49" s="53"/>
      <c r="I49" s="53"/>
      <c r="J49" s="53"/>
      <c r="K49" s="53"/>
    </row>
    <row r="50" spans="1:11" ht="13.5" customHeight="1" x14ac:dyDescent="0.15">
      <c r="A50" s="52" t="s">
        <v>61</v>
      </c>
      <c r="B50" s="53" t="s">
        <v>75</v>
      </c>
      <c r="C50" s="53"/>
      <c r="D50" s="53"/>
      <c r="E50" s="53"/>
      <c r="F50" s="53"/>
      <c r="G50" s="53"/>
      <c r="H50" s="53"/>
      <c r="I50" s="53"/>
      <c r="J50" s="53"/>
      <c r="K50" s="53"/>
    </row>
    <row r="51" spans="1:11" x14ac:dyDescent="0.15">
      <c r="A51" s="52" t="s">
        <v>32</v>
      </c>
      <c r="B51" s="255" t="s">
        <v>296</v>
      </c>
      <c r="C51" s="255"/>
      <c r="D51" s="255"/>
      <c r="E51" s="255"/>
      <c r="F51" s="255"/>
      <c r="G51" s="255"/>
      <c r="H51" s="255"/>
      <c r="I51" s="255"/>
      <c r="J51" s="255"/>
      <c r="K51" s="255"/>
    </row>
    <row r="52" spans="1:11" x14ac:dyDescent="0.15">
      <c r="A52" s="52" t="s">
        <v>64</v>
      </c>
      <c r="B52" s="53" t="s">
        <v>400</v>
      </c>
      <c r="C52" s="53"/>
      <c r="D52" s="53"/>
      <c r="E52" s="53"/>
      <c r="F52" s="53"/>
      <c r="G52" s="53"/>
      <c r="H52" s="53"/>
      <c r="I52" s="53"/>
      <c r="J52" s="53"/>
      <c r="K52" s="53"/>
    </row>
    <row r="53" spans="1:11" x14ac:dyDescent="0.15">
      <c r="A53" s="52" t="s">
        <v>66</v>
      </c>
      <c r="B53" s="53" t="s">
        <v>401</v>
      </c>
      <c r="C53" s="53"/>
      <c r="D53" s="53"/>
      <c r="E53" s="53"/>
      <c r="F53" s="53"/>
      <c r="G53" s="53"/>
      <c r="H53" s="53"/>
      <c r="I53" s="53"/>
      <c r="J53" s="53"/>
      <c r="K53" s="53"/>
    </row>
    <row r="54" spans="1:11" x14ac:dyDescent="0.15">
      <c r="A54" s="52" t="s">
        <v>77</v>
      </c>
      <c r="B54" s="53" t="s">
        <v>76</v>
      </c>
      <c r="C54" s="53"/>
      <c r="D54" s="53"/>
      <c r="E54" s="53"/>
      <c r="F54" s="53"/>
      <c r="G54" s="53"/>
      <c r="H54" s="53"/>
      <c r="I54" s="53"/>
      <c r="J54" s="53"/>
      <c r="K54" s="53"/>
    </row>
    <row r="55" spans="1:11" ht="40.5" customHeight="1" x14ac:dyDescent="0.15">
      <c r="A55" s="59" t="s">
        <v>144</v>
      </c>
      <c r="B55" s="262" t="s">
        <v>80</v>
      </c>
      <c r="C55" s="262"/>
      <c r="D55" s="262"/>
      <c r="E55" s="262"/>
      <c r="F55" s="262"/>
      <c r="G55" s="262"/>
      <c r="H55" s="262"/>
      <c r="I55" s="262"/>
      <c r="J55" s="262"/>
      <c r="K55" s="262"/>
    </row>
    <row r="56" spans="1:11" x14ac:dyDescent="0.15">
      <c r="A56" s="41"/>
    </row>
  </sheetData>
  <mergeCells count="12">
    <mergeCell ref="B55:K55"/>
    <mergeCell ref="C3:K3"/>
    <mergeCell ref="N3:S3"/>
    <mergeCell ref="F4:G4"/>
    <mergeCell ref="H4:I4"/>
    <mergeCell ref="M5:S5"/>
    <mergeCell ref="N6:S6"/>
    <mergeCell ref="M23:S23"/>
    <mergeCell ref="M28:S28"/>
    <mergeCell ref="M35:S35"/>
    <mergeCell ref="B43:K43"/>
    <mergeCell ref="B51:K51"/>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B09E-60E7-4F26-907C-45B71C9F8F22}">
  <sheetPr>
    <tabColor theme="9" tint="0.79998168889431442"/>
  </sheetPr>
  <dimension ref="A1:S54"/>
  <sheetViews>
    <sheetView zoomScale="70" zoomScaleNormal="70" zoomScaleSheetLayoutView="120" workbookViewId="0">
      <selection activeCell="G63" sqref="G63"/>
    </sheetView>
  </sheetViews>
  <sheetFormatPr baseColWidth="10" defaultColWidth="9.1640625" defaultRowHeight="14" x14ac:dyDescent="0.15"/>
  <cols>
    <col min="1" max="1" width="3" style="1" customWidth="1"/>
    <col min="2" max="2" width="38.83203125" style="1" customWidth="1"/>
    <col min="3" max="3" width="9.1640625" style="1" customWidth="1"/>
    <col min="4" max="5" width="9" style="1" customWidth="1"/>
    <col min="6" max="9" width="9.5" style="1" customWidth="1"/>
    <col min="10" max="10" width="8" style="1" customWidth="1"/>
    <col min="11"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402</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50</v>
      </c>
      <c r="D6" s="47">
        <v>50</v>
      </c>
      <c r="E6" s="47">
        <v>50</v>
      </c>
      <c r="F6" s="36">
        <v>35</v>
      </c>
      <c r="G6" s="36">
        <v>65</v>
      </c>
      <c r="H6" s="36">
        <v>35</v>
      </c>
      <c r="I6" s="36">
        <v>65</v>
      </c>
      <c r="J6" s="15"/>
      <c r="K6" s="50">
        <v>3</v>
      </c>
      <c r="M6" s="17"/>
      <c r="N6" s="253"/>
      <c r="O6" s="254"/>
      <c r="P6" s="254"/>
      <c r="Q6" s="254"/>
      <c r="R6" s="254"/>
      <c r="S6" s="254"/>
    </row>
    <row r="7" spans="2:19" ht="22.5" customHeight="1" x14ac:dyDescent="0.15">
      <c r="B7" s="13" t="s">
        <v>11</v>
      </c>
      <c r="C7" s="47">
        <v>100</v>
      </c>
      <c r="D7" s="47">
        <v>100</v>
      </c>
      <c r="E7" s="47">
        <v>100</v>
      </c>
      <c r="F7" s="36">
        <v>35</v>
      </c>
      <c r="G7" s="36">
        <v>150</v>
      </c>
      <c r="H7" s="36">
        <v>35</v>
      </c>
      <c r="I7" s="36">
        <v>150</v>
      </c>
      <c r="J7" s="15"/>
      <c r="K7" s="50">
        <v>3</v>
      </c>
      <c r="M7" s="17"/>
      <c r="N7" s="60"/>
      <c r="O7" s="61"/>
      <c r="P7" s="61"/>
      <c r="Q7" s="61"/>
      <c r="R7" s="61"/>
      <c r="S7" s="61"/>
    </row>
    <row r="8" spans="2:19" x14ac:dyDescent="0.15">
      <c r="B8" s="13" t="s">
        <v>12</v>
      </c>
      <c r="C8" s="47">
        <v>33.5</v>
      </c>
      <c r="D8" s="47">
        <v>36</v>
      </c>
      <c r="E8" s="47">
        <v>40</v>
      </c>
      <c r="F8" s="47"/>
      <c r="G8" s="47"/>
      <c r="H8" s="47"/>
      <c r="I8" s="47"/>
      <c r="J8" s="15"/>
      <c r="K8" s="46" t="s">
        <v>135</v>
      </c>
      <c r="M8" s="17"/>
      <c r="N8" s="18"/>
      <c r="O8" s="18"/>
      <c r="P8" s="18"/>
      <c r="Q8" s="18"/>
      <c r="R8" s="18"/>
      <c r="S8" s="18"/>
    </row>
    <row r="9" spans="2:19" x14ac:dyDescent="0.15">
      <c r="B9" s="19" t="s">
        <v>14</v>
      </c>
      <c r="C9" s="47">
        <f>C8-1</f>
        <v>32.5</v>
      </c>
      <c r="D9" s="47">
        <f t="shared" ref="D9:E9" si="0">D8-1</f>
        <v>35</v>
      </c>
      <c r="E9" s="47">
        <f t="shared" si="0"/>
        <v>39</v>
      </c>
      <c r="F9" s="47"/>
      <c r="G9" s="47"/>
      <c r="H9" s="47"/>
      <c r="I9" s="47"/>
      <c r="J9" s="20"/>
      <c r="K9" s="46" t="s">
        <v>135</v>
      </c>
      <c r="M9" s="17"/>
      <c r="N9" s="18"/>
      <c r="O9" s="18"/>
      <c r="P9" s="18"/>
      <c r="Q9" s="18"/>
      <c r="R9" s="18"/>
      <c r="S9" s="18"/>
    </row>
    <row r="10" spans="2:19" x14ac:dyDescent="0.15">
      <c r="B10" s="13" t="s">
        <v>15</v>
      </c>
      <c r="C10" s="47">
        <v>2</v>
      </c>
      <c r="D10" s="47">
        <v>2</v>
      </c>
      <c r="E10" s="47">
        <v>2</v>
      </c>
      <c r="F10" s="47"/>
      <c r="G10" s="47"/>
      <c r="H10" s="47"/>
      <c r="I10" s="47"/>
      <c r="J10" s="15"/>
      <c r="K10" s="50"/>
      <c r="M10" s="1"/>
      <c r="N10" s="21"/>
      <c r="O10" s="21"/>
      <c r="P10" s="21"/>
      <c r="Q10" s="21"/>
      <c r="R10" s="21"/>
      <c r="S10" s="18"/>
    </row>
    <row r="11" spans="2:19" x14ac:dyDescent="0.15">
      <c r="B11" s="22" t="s">
        <v>16</v>
      </c>
      <c r="C11" s="47">
        <v>3</v>
      </c>
      <c r="D11" s="47">
        <v>3</v>
      </c>
      <c r="E11" s="47">
        <v>3</v>
      </c>
      <c r="F11" s="47"/>
      <c r="G11" s="47"/>
      <c r="H11" s="47"/>
      <c r="I11" s="47"/>
      <c r="J11" s="15"/>
      <c r="K11" s="50"/>
      <c r="M11" s="1"/>
      <c r="N11" s="21"/>
      <c r="O11" s="21"/>
      <c r="P11" s="21"/>
      <c r="Q11" s="21"/>
      <c r="R11" s="21"/>
      <c r="S11" s="18"/>
    </row>
    <row r="12" spans="2:19" x14ac:dyDescent="0.15">
      <c r="B12" s="22" t="s">
        <v>17</v>
      </c>
      <c r="C12" s="47">
        <v>25</v>
      </c>
      <c r="D12" s="47">
        <v>25</v>
      </c>
      <c r="E12" s="47">
        <v>25</v>
      </c>
      <c r="F12" s="47"/>
      <c r="G12" s="47"/>
      <c r="H12" s="47"/>
      <c r="I12" s="47"/>
      <c r="J12" s="15"/>
      <c r="K12" s="50"/>
      <c r="M12" s="17"/>
      <c r="N12" s="18"/>
      <c r="O12" s="18"/>
      <c r="P12" s="18"/>
      <c r="Q12" s="18"/>
      <c r="R12" s="18"/>
      <c r="S12" s="18"/>
    </row>
    <row r="13" spans="2:19" x14ac:dyDescent="0.15">
      <c r="B13" s="22" t="s">
        <v>18</v>
      </c>
      <c r="C13" s="14">
        <v>1.5</v>
      </c>
      <c r="D13" s="14">
        <v>1.5</v>
      </c>
      <c r="E13" s="14">
        <v>1.5</v>
      </c>
      <c r="F13" s="122">
        <f>C13*0.75</f>
        <v>1.125</v>
      </c>
      <c r="G13" s="122">
        <f>C13*1.25</f>
        <v>1.875</v>
      </c>
      <c r="H13" s="122">
        <f>E13*0.75</f>
        <v>1.125</v>
      </c>
      <c r="I13" s="122">
        <f>E13*1.25</f>
        <v>1.875</v>
      </c>
      <c r="J13" s="15" t="s">
        <v>61</v>
      </c>
      <c r="K13" s="50">
        <v>3</v>
      </c>
      <c r="M13" s="17"/>
      <c r="N13" s="18"/>
      <c r="O13" s="18"/>
      <c r="P13" s="18"/>
      <c r="Q13" s="18"/>
      <c r="R13" s="18"/>
      <c r="S13" s="18"/>
    </row>
    <row r="14" spans="2:19" x14ac:dyDescent="0.15">
      <c r="B14" s="23" t="s">
        <v>20</v>
      </c>
      <c r="C14" s="49">
        <v>0.02</v>
      </c>
      <c r="D14" s="49">
        <v>0.02</v>
      </c>
      <c r="E14" s="49">
        <v>0.02</v>
      </c>
      <c r="F14" s="239">
        <f>C14*0.75</f>
        <v>1.4999999999999999E-2</v>
      </c>
      <c r="G14" s="239">
        <f>C14*1.25</f>
        <v>2.5000000000000001E-2</v>
      </c>
      <c r="H14" s="239">
        <f>E14*0.75</f>
        <v>1.4999999999999999E-2</v>
      </c>
      <c r="I14" s="239">
        <f>E14*1.25</f>
        <v>2.5000000000000001E-2</v>
      </c>
      <c r="J14" s="15" t="s">
        <v>61</v>
      </c>
      <c r="K14" s="15">
        <v>3</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7" t="s">
        <v>31</v>
      </c>
      <c r="D16" s="47" t="s">
        <v>31</v>
      </c>
      <c r="E16" s="47" t="s">
        <v>31</v>
      </c>
      <c r="F16" s="47" t="s">
        <v>31</v>
      </c>
      <c r="G16" s="47" t="s">
        <v>31</v>
      </c>
      <c r="H16" s="47" t="s">
        <v>31</v>
      </c>
      <c r="I16" s="47" t="s">
        <v>31</v>
      </c>
      <c r="J16" s="15"/>
      <c r="K16" s="46"/>
      <c r="M16" s="17"/>
      <c r="N16" s="18"/>
      <c r="O16" s="18"/>
      <c r="P16" s="18"/>
      <c r="Q16" s="18"/>
      <c r="R16" s="18"/>
      <c r="S16" s="18"/>
    </row>
    <row r="17" spans="2:19" x14ac:dyDescent="0.15">
      <c r="B17" s="23" t="s">
        <v>23</v>
      </c>
      <c r="C17" s="47" t="s">
        <v>31</v>
      </c>
      <c r="D17" s="47" t="s">
        <v>31</v>
      </c>
      <c r="E17" s="47" t="s">
        <v>31</v>
      </c>
      <c r="F17" s="47" t="s">
        <v>31</v>
      </c>
      <c r="G17" s="47" t="s">
        <v>31</v>
      </c>
      <c r="H17" s="47" t="s">
        <v>31</v>
      </c>
      <c r="I17" s="47" t="s">
        <v>31</v>
      </c>
      <c r="J17" s="15"/>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20</v>
      </c>
      <c r="D19" s="47">
        <v>20</v>
      </c>
      <c r="E19" s="47">
        <v>20</v>
      </c>
      <c r="F19" s="47">
        <v>10</v>
      </c>
      <c r="G19" s="47">
        <v>30</v>
      </c>
      <c r="H19" s="47">
        <v>10</v>
      </c>
      <c r="I19" s="46">
        <v>30</v>
      </c>
      <c r="J19" s="16" t="s">
        <v>32</v>
      </c>
      <c r="K19" s="50" t="s">
        <v>403</v>
      </c>
      <c r="L19" s="3"/>
      <c r="M19" s="17"/>
      <c r="N19" s="18"/>
      <c r="O19" s="18"/>
      <c r="P19" s="18"/>
      <c r="Q19" s="18"/>
      <c r="R19" s="18"/>
      <c r="S19" s="18"/>
    </row>
    <row r="20" spans="2:19" x14ac:dyDescent="0.15">
      <c r="B20" s="22" t="s">
        <v>26</v>
      </c>
      <c r="C20" s="47">
        <v>20</v>
      </c>
      <c r="D20" s="47">
        <v>30</v>
      </c>
      <c r="E20" s="47">
        <v>15</v>
      </c>
      <c r="F20" s="47">
        <v>30</v>
      </c>
      <c r="G20" s="47">
        <v>50</v>
      </c>
      <c r="H20" s="47">
        <v>10</v>
      </c>
      <c r="I20" s="46">
        <v>40</v>
      </c>
      <c r="J20" s="16" t="s">
        <v>13</v>
      </c>
      <c r="K20" s="50">
        <v>6</v>
      </c>
      <c r="M20" s="17"/>
      <c r="N20" s="18"/>
      <c r="O20" s="18"/>
      <c r="P20" s="18"/>
      <c r="Q20" s="18"/>
      <c r="R20" s="18"/>
      <c r="S20" s="18"/>
    </row>
    <row r="21" spans="2:19" x14ac:dyDescent="0.15">
      <c r="B21" s="22" t="s">
        <v>27</v>
      </c>
      <c r="C21" s="49">
        <v>0.25</v>
      </c>
      <c r="D21" s="49">
        <v>0.23</v>
      </c>
      <c r="E21" s="49">
        <v>0.2</v>
      </c>
      <c r="F21" s="47"/>
      <c r="G21" s="47"/>
      <c r="H21" s="14"/>
      <c r="I21" s="46"/>
      <c r="J21" s="16"/>
      <c r="K21" s="50">
        <v>3</v>
      </c>
      <c r="M21" s="17"/>
      <c r="N21" s="18"/>
      <c r="O21" s="18"/>
      <c r="P21" s="18"/>
      <c r="Q21" s="18"/>
      <c r="R21" s="18"/>
      <c r="S21" s="18"/>
    </row>
    <row r="22" spans="2:19" x14ac:dyDescent="0.15">
      <c r="B22" s="22" t="s">
        <v>28</v>
      </c>
      <c r="C22" s="14">
        <v>0.5</v>
      </c>
      <c r="D22" s="14">
        <v>0.5</v>
      </c>
      <c r="E22" s="14">
        <v>0.5</v>
      </c>
      <c r="F22" s="47"/>
      <c r="G22" s="47"/>
      <c r="H22" s="47"/>
      <c r="I22" s="46"/>
      <c r="J22" s="16"/>
      <c r="K22" s="50">
        <v>3</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285</v>
      </c>
      <c r="C24" s="31">
        <v>30</v>
      </c>
      <c r="D24" s="31">
        <v>30</v>
      </c>
      <c r="E24" s="31">
        <v>30</v>
      </c>
      <c r="F24" s="31">
        <v>30</v>
      </c>
      <c r="G24" s="31">
        <v>30</v>
      </c>
      <c r="H24" s="31">
        <v>30</v>
      </c>
      <c r="I24" s="31">
        <v>30</v>
      </c>
      <c r="J24" s="30"/>
      <c r="K24" s="50">
        <v>7</v>
      </c>
      <c r="M24" s="17"/>
      <c r="N24" s="18"/>
      <c r="O24" s="18"/>
      <c r="P24" s="18"/>
      <c r="Q24" s="18"/>
      <c r="R24" s="18"/>
      <c r="S24" s="18"/>
    </row>
    <row r="25" spans="2:19" x14ac:dyDescent="0.15">
      <c r="B25" s="22" t="s">
        <v>33</v>
      </c>
      <c r="C25" s="31" t="s">
        <v>31</v>
      </c>
      <c r="D25" s="31" t="s">
        <v>31</v>
      </c>
      <c r="E25" s="31" t="s">
        <v>31</v>
      </c>
      <c r="F25" s="31" t="s">
        <v>31</v>
      </c>
      <c r="G25" s="31" t="s">
        <v>31</v>
      </c>
      <c r="H25" s="31" t="s">
        <v>31</v>
      </c>
      <c r="I25" s="31" t="s">
        <v>31</v>
      </c>
      <c r="J25" s="30" t="s">
        <v>66</v>
      </c>
      <c r="K25" s="50"/>
      <c r="M25" s="17"/>
      <c r="N25" s="18"/>
      <c r="O25" s="18"/>
      <c r="P25" s="18"/>
      <c r="Q25" s="18"/>
      <c r="R25" s="18"/>
      <c r="S25" s="18"/>
    </row>
    <row r="26" spans="2:19" ht="15" customHeight="1" x14ac:dyDescent="0.15">
      <c r="B26" s="22" t="s">
        <v>34</v>
      </c>
      <c r="C26" s="31">
        <f>320*0.27</f>
        <v>86.4</v>
      </c>
      <c r="D26" s="31">
        <v>60</v>
      </c>
      <c r="E26" s="31">
        <v>20</v>
      </c>
      <c r="F26" s="31">
        <v>20</v>
      </c>
      <c r="G26" s="31">
        <v>86</v>
      </c>
      <c r="H26" s="31">
        <v>20</v>
      </c>
      <c r="I26" s="31">
        <v>86</v>
      </c>
      <c r="J26" s="32" t="s">
        <v>289</v>
      </c>
      <c r="K26" s="50" t="s">
        <v>308</v>
      </c>
      <c r="M26" s="17"/>
      <c r="N26" s="18"/>
      <c r="O26" s="18"/>
      <c r="P26" s="18"/>
      <c r="Q26" s="18"/>
      <c r="R26" s="18"/>
      <c r="S26" s="18"/>
    </row>
    <row r="27" spans="2:19" x14ac:dyDescent="0.15">
      <c r="B27" s="22" t="s">
        <v>35</v>
      </c>
      <c r="C27" s="31" t="s">
        <v>31</v>
      </c>
      <c r="D27" s="31" t="s">
        <v>31</v>
      </c>
      <c r="E27" s="31" t="s">
        <v>31</v>
      </c>
      <c r="F27" s="31" t="s">
        <v>31</v>
      </c>
      <c r="G27" s="31" t="s">
        <v>31</v>
      </c>
      <c r="H27" s="31" t="s">
        <v>31</v>
      </c>
      <c r="I27" s="31" t="s">
        <v>31</v>
      </c>
      <c r="J27" s="16"/>
      <c r="K27" s="16"/>
      <c r="M27" s="17"/>
      <c r="N27" s="33"/>
      <c r="O27" s="33"/>
      <c r="P27" s="33"/>
      <c r="Q27" s="33"/>
      <c r="R27" s="18"/>
      <c r="S27" s="18"/>
    </row>
    <row r="28" spans="2:19" x14ac:dyDescent="0.15">
      <c r="B28" s="22" t="s">
        <v>36</v>
      </c>
      <c r="C28" s="31" t="s">
        <v>31</v>
      </c>
      <c r="D28" s="31" t="s">
        <v>31</v>
      </c>
      <c r="E28" s="31" t="s">
        <v>31</v>
      </c>
      <c r="F28" s="31" t="s">
        <v>31</v>
      </c>
      <c r="G28" s="31" t="s">
        <v>31</v>
      </c>
      <c r="H28" s="31" t="s">
        <v>31</v>
      </c>
      <c r="I28" s="31" t="s">
        <v>31</v>
      </c>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0.77280000000000004</v>
      </c>
      <c r="D30" s="51">
        <f>0.95*C30</f>
        <v>0.73416000000000003</v>
      </c>
      <c r="E30" s="51">
        <f>0.88*C30</f>
        <v>0.680064</v>
      </c>
      <c r="F30" s="49">
        <v>0.65</v>
      </c>
      <c r="G30" s="49">
        <v>1.2</v>
      </c>
      <c r="H30" s="49">
        <v>0.55000000000000004</v>
      </c>
      <c r="I30" s="51">
        <v>1.1000000000000001</v>
      </c>
      <c r="J30" s="16" t="s">
        <v>404</v>
      </c>
      <c r="K30" s="50" t="s">
        <v>405</v>
      </c>
      <c r="M30" s="17"/>
      <c r="N30" s="35"/>
      <c r="O30" s="35"/>
      <c r="P30" s="35"/>
      <c r="Q30" s="35"/>
      <c r="R30" s="18"/>
      <c r="S30" s="18"/>
    </row>
    <row r="31" spans="2:19" x14ac:dyDescent="0.15">
      <c r="B31" s="22" t="s">
        <v>117</v>
      </c>
      <c r="C31" s="36">
        <v>50</v>
      </c>
      <c r="D31" s="36">
        <v>50</v>
      </c>
      <c r="E31" s="36">
        <v>50</v>
      </c>
      <c r="F31" s="36">
        <v>50</v>
      </c>
      <c r="G31" s="36">
        <v>50</v>
      </c>
      <c r="H31" s="36">
        <v>50</v>
      </c>
      <c r="I31" s="36">
        <v>50</v>
      </c>
      <c r="J31" s="16"/>
      <c r="K31" s="16">
        <v>9</v>
      </c>
      <c r="M31" s="17"/>
      <c r="N31" s="35"/>
      <c r="O31" s="35"/>
      <c r="P31" s="35"/>
      <c r="Q31" s="35"/>
      <c r="R31" s="18"/>
      <c r="S31" s="18"/>
    </row>
    <row r="32" spans="2:19" x14ac:dyDescent="0.15">
      <c r="B32" s="22" t="s">
        <v>118</v>
      </c>
      <c r="C32" s="36">
        <v>50</v>
      </c>
      <c r="D32" s="36">
        <v>50</v>
      </c>
      <c r="E32" s="36">
        <v>50</v>
      </c>
      <c r="F32" s="36">
        <v>50</v>
      </c>
      <c r="G32" s="36">
        <v>50</v>
      </c>
      <c r="H32" s="36">
        <v>50</v>
      </c>
      <c r="I32" s="36">
        <v>50</v>
      </c>
      <c r="J32" s="16"/>
      <c r="K32" s="16">
        <v>9</v>
      </c>
      <c r="M32" s="17"/>
      <c r="N32" s="35"/>
      <c r="O32" s="35"/>
      <c r="P32" s="35"/>
      <c r="Q32" s="35"/>
      <c r="R32" s="18"/>
      <c r="S32" s="18"/>
    </row>
    <row r="33" spans="1:19" x14ac:dyDescent="0.15">
      <c r="B33" s="22" t="s">
        <v>42</v>
      </c>
      <c r="C33" s="48">
        <v>23200</v>
      </c>
      <c r="D33" s="48">
        <f>MROUND(C33*0.97,100)</f>
        <v>22500</v>
      </c>
      <c r="E33" s="48">
        <f>MROUND(C33*0.94,100)</f>
        <v>21800</v>
      </c>
      <c r="F33" s="36">
        <f>MROUND(C33*0.75,100)</f>
        <v>17400</v>
      </c>
      <c r="G33" s="36">
        <f>MROUND(C33*1.25,100)</f>
        <v>29000</v>
      </c>
      <c r="H33" s="36">
        <f>MROUND(E33*0.75,100)</f>
        <v>16400</v>
      </c>
      <c r="I33" s="36">
        <f>MROUND(E33*1.25,100)</f>
        <v>27300</v>
      </c>
      <c r="J33" s="16" t="s">
        <v>61</v>
      </c>
      <c r="K33" s="50" t="s">
        <v>405</v>
      </c>
      <c r="M33" s="17"/>
      <c r="N33" s="35"/>
      <c r="O33" s="35"/>
      <c r="P33" s="35"/>
      <c r="Q33" s="35"/>
      <c r="R33" s="18"/>
      <c r="S33" s="18"/>
    </row>
    <row r="34" spans="1:19" x14ac:dyDescent="0.15">
      <c r="B34" s="22" t="s">
        <v>45</v>
      </c>
      <c r="C34" s="49"/>
      <c r="D34" s="49"/>
      <c r="E34" s="49"/>
      <c r="F34" s="51"/>
      <c r="G34" s="51"/>
      <c r="H34" s="51"/>
      <c r="I34" s="51"/>
      <c r="J34" s="16"/>
      <c r="K34" s="50"/>
      <c r="M34" s="17"/>
      <c r="N34" s="35"/>
      <c r="O34" s="35"/>
      <c r="P34" s="35"/>
      <c r="Q34" s="35"/>
      <c r="R34" s="18"/>
      <c r="S34" s="18"/>
    </row>
    <row r="35" spans="1:19" x14ac:dyDescent="0.15">
      <c r="B35" s="22" t="s">
        <v>46</v>
      </c>
      <c r="C35" s="47">
        <v>24</v>
      </c>
      <c r="D35" s="47">
        <v>24</v>
      </c>
      <c r="E35" s="47">
        <v>24</v>
      </c>
      <c r="F35" s="36">
        <f>C35*0.75</f>
        <v>18</v>
      </c>
      <c r="G35" s="36">
        <f>C35*1.25</f>
        <v>30</v>
      </c>
      <c r="H35" s="36">
        <f>E35*0.75</f>
        <v>18</v>
      </c>
      <c r="I35" s="36">
        <f>E35*1.25</f>
        <v>30</v>
      </c>
      <c r="J35" s="16" t="s">
        <v>61</v>
      </c>
      <c r="K35" s="50">
        <v>6</v>
      </c>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9">
        <v>1</v>
      </c>
      <c r="B38" s="1" t="s">
        <v>89</v>
      </c>
    </row>
    <row r="39" spans="1:19" x14ac:dyDescent="0.15">
      <c r="A39" s="53">
        <v>2</v>
      </c>
      <c r="B39" s="53" t="s">
        <v>52</v>
      </c>
    </row>
    <row r="40" spans="1:19" x14ac:dyDescent="0.15">
      <c r="A40" s="53">
        <v>3</v>
      </c>
      <c r="B40" s="1" t="s">
        <v>398</v>
      </c>
    </row>
    <row r="41" spans="1:19" x14ac:dyDescent="0.15">
      <c r="A41" s="53">
        <v>4</v>
      </c>
      <c r="B41" s="53" t="s">
        <v>54</v>
      </c>
    </row>
    <row r="42" spans="1:19" x14ac:dyDescent="0.15">
      <c r="A42" s="53">
        <v>5</v>
      </c>
      <c r="B42" s="53" t="s">
        <v>92</v>
      </c>
    </row>
    <row r="43" spans="1:19" x14ac:dyDescent="0.15">
      <c r="A43" s="53">
        <v>6</v>
      </c>
      <c r="B43" s="1" t="s">
        <v>269</v>
      </c>
    </row>
    <row r="44" spans="1:19" s="1" customFormat="1" x14ac:dyDescent="0.15">
      <c r="A44" s="53">
        <v>7</v>
      </c>
      <c r="B44" s="1" t="s">
        <v>294</v>
      </c>
      <c r="M44" s="4"/>
      <c r="N44" s="4"/>
      <c r="O44" s="4"/>
      <c r="P44" s="4"/>
      <c r="Q44" s="4"/>
      <c r="R44" s="4"/>
      <c r="S44" s="4"/>
    </row>
    <row r="45" spans="1:19" s="1" customFormat="1" x14ac:dyDescent="0.15">
      <c r="A45" s="53">
        <v>8</v>
      </c>
      <c r="B45" s="53" t="s">
        <v>374</v>
      </c>
      <c r="M45" s="4"/>
      <c r="N45" s="4"/>
      <c r="O45" s="4"/>
      <c r="P45" s="4"/>
      <c r="Q45" s="4"/>
      <c r="R45" s="4"/>
      <c r="S45" s="4"/>
    </row>
    <row r="46" spans="1:19" s="1" customFormat="1" x14ac:dyDescent="0.15">
      <c r="A46" s="3" t="s">
        <v>59</v>
      </c>
      <c r="M46" s="4"/>
      <c r="N46" s="4"/>
      <c r="O46" s="4"/>
      <c r="P46" s="4"/>
      <c r="Q46" s="4"/>
      <c r="R46" s="4"/>
      <c r="S46" s="4"/>
    </row>
    <row r="47" spans="1:19" s="1" customFormat="1" x14ac:dyDescent="0.15">
      <c r="A47" s="52" t="s">
        <v>13</v>
      </c>
      <c r="B47" s="53" t="s">
        <v>295</v>
      </c>
      <c r="C47" s="53"/>
      <c r="D47" s="53"/>
      <c r="E47" s="53"/>
      <c r="F47" s="53"/>
      <c r="G47" s="53"/>
      <c r="H47" s="53"/>
      <c r="I47" s="53"/>
      <c r="J47" s="53"/>
      <c r="K47" s="53"/>
      <c r="M47" s="4"/>
      <c r="N47" s="4"/>
      <c r="O47" s="4"/>
      <c r="P47" s="4"/>
      <c r="Q47" s="4"/>
      <c r="R47" s="4"/>
      <c r="S47" s="4"/>
    </row>
    <row r="48" spans="1:19" s="1" customFormat="1" ht="13.5" customHeight="1" x14ac:dyDescent="0.15">
      <c r="A48" s="52" t="s">
        <v>61</v>
      </c>
      <c r="B48" s="53" t="s">
        <v>75</v>
      </c>
      <c r="C48" s="53"/>
      <c r="D48" s="53"/>
      <c r="E48" s="53"/>
      <c r="F48" s="53"/>
      <c r="G48" s="53"/>
      <c r="H48" s="53"/>
      <c r="I48" s="53"/>
      <c r="J48" s="53"/>
      <c r="K48" s="53"/>
      <c r="M48" s="4"/>
      <c r="N48" s="4"/>
      <c r="O48" s="4"/>
      <c r="P48" s="4"/>
      <c r="Q48" s="4"/>
      <c r="R48" s="4"/>
      <c r="S48" s="4"/>
    </row>
    <row r="49" spans="1:19" s="1" customFormat="1" x14ac:dyDescent="0.15">
      <c r="A49" s="52" t="s">
        <v>32</v>
      </c>
      <c r="B49" s="255" t="s">
        <v>296</v>
      </c>
      <c r="C49" s="255"/>
      <c r="D49" s="255"/>
      <c r="E49" s="255"/>
      <c r="F49" s="255"/>
      <c r="G49" s="255"/>
      <c r="H49" s="255"/>
      <c r="I49" s="255"/>
      <c r="J49" s="255"/>
      <c r="K49" s="255"/>
      <c r="M49" s="4"/>
      <c r="N49" s="4"/>
      <c r="O49" s="4"/>
      <c r="P49" s="4"/>
      <c r="Q49" s="4"/>
      <c r="R49" s="4"/>
      <c r="S49" s="4"/>
    </row>
    <row r="50" spans="1:19" s="1" customFormat="1" x14ac:dyDescent="0.15">
      <c r="A50" s="52" t="s">
        <v>64</v>
      </c>
      <c r="B50" s="53" t="s">
        <v>400</v>
      </c>
      <c r="C50" s="53"/>
      <c r="D50" s="53"/>
      <c r="E50" s="53"/>
      <c r="F50" s="53"/>
      <c r="G50" s="53"/>
      <c r="H50" s="53"/>
      <c r="I50" s="53"/>
      <c r="J50" s="53"/>
      <c r="K50" s="53"/>
      <c r="M50" s="4"/>
      <c r="N50" s="4"/>
      <c r="O50" s="4"/>
      <c r="P50" s="4"/>
      <c r="Q50" s="4"/>
      <c r="R50" s="4"/>
      <c r="S50" s="4"/>
    </row>
    <row r="51" spans="1:19" s="1" customFormat="1" x14ac:dyDescent="0.15">
      <c r="A51" s="52" t="s">
        <v>66</v>
      </c>
      <c r="B51" s="53" t="s">
        <v>401</v>
      </c>
      <c r="C51" s="53"/>
      <c r="D51" s="53"/>
      <c r="E51" s="53"/>
      <c r="F51" s="53"/>
      <c r="G51" s="53"/>
      <c r="H51" s="53"/>
      <c r="I51" s="53"/>
      <c r="J51" s="53"/>
      <c r="K51" s="53"/>
      <c r="M51" s="4"/>
      <c r="N51" s="4"/>
      <c r="O51" s="4"/>
      <c r="P51" s="4"/>
      <c r="Q51" s="4"/>
      <c r="R51" s="4"/>
      <c r="S51" s="4"/>
    </row>
    <row r="52" spans="1:19" s="1" customFormat="1" x14ac:dyDescent="0.15">
      <c r="A52" s="52" t="s">
        <v>77</v>
      </c>
      <c r="B52" s="53" t="s">
        <v>406</v>
      </c>
      <c r="C52" s="53"/>
      <c r="D52" s="53"/>
      <c r="E52" s="53"/>
      <c r="F52" s="53"/>
      <c r="G52" s="53"/>
      <c r="H52" s="53"/>
      <c r="I52" s="53"/>
      <c r="J52" s="53"/>
      <c r="K52" s="53"/>
      <c r="M52" s="4"/>
      <c r="N52" s="4"/>
      <c r="O52" s="4"/>
      <c r="P52" s="4"/>
      <c r="Q52" s="4"/>
      <c r="R52" s="4"/>
      <c r="S52" s="4"/>
    </row>
    <row r="53" spans="1:19" s="1" customFormat="1" x14ac:dyDescent="0.15">
      <c r="A53" s="52" t="s">
        <v>142</v>
      </c>
      <c r="B53" s="53" t="s">
        <v>76</v>
      </c>
      <c r="M53" s="4"/>
      <c r="N53" s="4"/>
      <c r="O53" s="4"/>
      <c r="P53" s="4"/>
      <c r="Q53" s="4"/>
      <c r="R53" s="4"/>
      <c r="S53" s="4"/>
    </row>
    <row r="54" spans="1:19" s="1" customFormat="1" ht="39.75" customHeight="1" x14ac:dyDescent="0.15">
      <c r="A54" s="59" t="s">
        <v>144</v>
      </c>
      <c r="B54" s="262" t="s">
        <v>80</v>
      </c>
      <c r="C54" s="262"/>
      <c r="D54" s="262"/>
      <c r="E54" s="262"/>
      <c r="F54" s="262"/>
      <c r="G54" s="262"/>
      <c r="H54" s="262"/>
      <c r="I54" s="262"/>
      <c r="J54" s="262"/>
      <c r="K54" s="262"/>
      <c r="M54" s="4"/>
      <c r="N54" s="4"/>
      <c r="O54" s="4"/>
      <c r="P54" s="4"/>
      <c r="Q54" s="4"/>
      <c r="R54" s="4"/>
      <c r="S54" s="4"/>
    </row>
  </sheetData>
  <mergeCells count="11">
    <mergeCell ref="N6:S6"/>
    <mergeCell ref="C3:K3"/>
    <mergeCell ref="N3:S3"/>
    <mergeCell ref="F4:G4"/>
    <mergeCell ref="H4:I4"/>
    <mergeCell ref="M5:S5"/>
    <mergeCell ref="M23:S23"/>
    <mergeCell ref="M28:S28"/>
    <mergeCell ref="M35:S35"/>
    <mergeCell ref="B49:K49"/>
    <mergeCell ref="B54:K54"/>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2064-14C3-4FE2-B2C2-130A1DC9AD05}">
  <sheetPr>
    <tabColor theme="3" tint="0.39997558519241921"/>
  </sheetPr>
  <dimension ref="A1:S56"/>
  <sheetViews>
    <sheetView zoomScale="85" zoomScaleNormal="85" zoomScaleSheetLayoutView="120" workbookViewId="0">
      <selection activeCell="I56" sqref="I56"/>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0" width="6.5" style="1" customWidth="1"/>
    <col min="11" max="11" width="7.164062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306</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197">
        <v>-60</v>
      </c>
      <c r="D6" s="197">
        <v>-60</v>
      </c>
      <c r="E6" s="198">
        <v>-60</v>
      </c>
      <c r="F6" s="114"/>
      <c r="G6" s="47"/>
      <c r="H6" s="47"/>
      <c r="I6" s="47"/>
      <c r="J6" s="15" t="s">
        <v>13</v>
      </c>
      <c r="K6" s="50">
        <v>1</v>
      </c>
      <c r="M6" s="17"/>
      <c r="N6" s="253"/>
      <c r="O6" s="254"/>
      <c r="P6" s="254"/>
      <c r="Q6" s="254"/>
      <c r="R6" s="254"/>
      <c r="S6" s="254"/>
    </row>
    <row r="7" spans="2:19" ht="25.5" customHeight="1" x14ac:dyDescent="0.15">
      <c r="B7" s="13" t="s">
        <v>11</v>
      </c>
      <c r="C7" s="197">
        <v>-60</v>
      </c>
      <c r="D7" s="197">
        <v>-60</v>
      </c>
      <c r="E7" s="198">
        <v>-60</v>
      </c>
      <c r="F7" s="114"/>
      <c r="G7" s="47"/>
      <c r="H7" s="47"/>
      <c r="I7" s="47"/>
      <c r="J7" s="15" t="s">
        <v>13</v>
      </c>
      <c r="K7" s="50">
        <v>1</v>
      </c>
      <c r="M7" s="17"/>
      <c r="N7" s="60"/>
      <c r="O7" s="61"/>
      <c r="P7" s="61"/>
      <c r="Q7" s="61"/>
      <c r="R7" s="61"/>
      <c r="S7" s="61"/>
    </row>
    <row r="8" spans="2:19" x14ac:dyDescent="0.15">
      <c r="B8" s="13" t="s">
        <v>12</v>
      </c>
      <c r="C8" s="199">
        <v>-7</v>
      </c>
      <c r="D8" s="199">
        <v>-7</v>
      </c>
      <c r="E8" s="199">
        <v>-7</v>
      </c>
      <c r="F8" s="200"/>
      <c r="G8" s="48"/>
      <c r="H8" s="48"/>
      <c r="I8" s="48"/>
      <c r="J8" s="15"/>
      <c r="K8" s="46">
        <v>1</v>
      </c>
      <c r="M8" s="17"/>
      <c r="N8" s="18"/>
      <c r="O8" s="18"/>
      <c r="P8" s="18"/>
      <c r="Q8" s="18"/>
      <c r="R8" s="18"/>
      <c r="S8" s="18"/>
    </row>
    <row r="9" spans="2:19" x14ac:dyDescent="0.15">
      <c r="B9" s="19" t="s">
        <v>14</v>
      </c>
      <c r="C9" s="199">
        <v>-8</v>
      </c>
      <c r="D9" s="199">
        <v>-8</v>
      </c>
      <c r="E9" s="199">
        <v>-8</v>
      </c>
      <c r="F9" s="200"/>
      <c r="G9" s="48"/>
      <c r="H9" s="48"/>
      <c r="I9" s="48"/>
      <c r="J9" s="20"/>
      <c r="K9" s="66">
        <v>1</v>
      </c>
      <c r="M9" s="17"/>
      <c r="N9" s="18"/>
      <c r="O9" s="18"/>
      <c r="P9" s="18"/>
      <c r="Q9" s="18"/>
      <c r="R9" s="18"/>
      <c r="S9" s="18"/>
    </row>
    <row r="10" spans="2:19" x14ac:dyDescent="0.15">
      <c r="B10" s="13" t="s">
        <v>15</v>
      </c>
      <c r="C10" s="199">
        <v>7</v>
      </c>
      <c r="D10" s="199">
        <v>7</v>
      </c>
      <c r="E10" s="199">
        <v>7</v>
      </c>
      <c r="F10" s="114"/>
      <c r="G10" s="47"/>
      <c r="H10" s="47"/>
      <c r="I10" s="47"/>
      <c r="J10" s="15"/>
      <c r="K10" s="50"/>
      <c r="M10" s="1"/>
      <c r="N10" s="21"/>
      <c r="O10" s="21"/>
      <c r="P10" s="21"/>
      <c r="Q10" s="21"/>
      <c r="R10" s="21"/>
      <c r="S10" s="18"/>
    </row>
    <row r="11" spans="2:19" x14ac:dyDescent="0.15">
      <c r="B11" s="22" t="s">
        <v>16</v>
      </c>
      <c r="C11" s="199"/>
      <c r="D11" s="48"/>
      <c r="E11" s="48"/>
      <c r="F11" s="114"/>
      <c r="G11" s="47"/>
      <c r="H11" s="47"/>
      <c r="I11" s="47"/>
      <c r="J11" s="15"/>
      <c r="K11" s="50"/>
      <c r="M11" s="1"/>
      <c r="N11" s="21"/>
      <c r="O11" s="21"/>
      <c r="P11" s="21"/>
      <c r="Q11" s="21"/>
      <c r="R11" s="21"/>
      <c r="S11" s="18"/>
    </row>
    <row r="12" spans="2:19" x14ac:dyDescent="0.15">
      <c r="B12" s="22" t="s">
        <v>17</v>
      </c>
      <c r="C12" s="199"/>
      <c r="D12" s="48"/>
      <c r="E12" s="48"/>
      <c r="F12" s="114"/>
      <c r="G12" s="47"/>
      <c r="H12" s="47"/>
      <c r="I12" s="47"/>
      <c r="J12" s="15"/>
      <c r="K12" s="50"/>
      <c r="M12" s="17"/>
      <c r="N12" s="18"/>
      <c r="O12" s="18"/>
      <c r="P12" s="18"/>
      <c r="Q12" s="18"/>
      <c r="R12" s="18"/>
      <c r="S12" s="18"/>
    </row>
    <row r="13" spans="2:19" x14ac:dyDescent="0.15">
      <c r="B13" s="22" t="s">
        <v>18</v>
      </c>
      <c r="C13" s="199"/>
      <c r="D13" s="48"/>
      <c r="E13" s="48"/>
      <c r="F13" s="201"/>
      <c r="G13" s="15"/>
      <c r="H13" s="15"/>
      <c r="I13" s="47"/>
      <c r="J13" s="15"/>
      <c r="K13" s="50"/>
      <c r="M13" s="17"/>
      <c r="N13" s="18"/>
      <c r="O13" s="18"/>
      <c r="P13" s="18"/>
      <c r="Q13" s="18"/>
      <c r="R13" s="18"/>
      <c r="S13" s="18"/>
    </row>
    <row r="14" spans="2:19" x14ac:dyDescent="0.15">
      <c r="B14" s="146" t="s">
        <v>307</v>
      </c>
      <c r="C14" s="199">
        <v>-88.76</v>
      </c>
      <c r="D14" s="48">
        <v>-90</v>
      </c>
      <c r="E14" s="48">
        <v>-90</v>
      </c>
      <c r="F14" s="201"/>
      <c r="G14" s="15"/>
      <c r="H14" s="202"/>
      <c r="I14" s="47"/>
      <c r="J14" s="15" t="s">
        <v>61</v>
      </c>
      <c r="K14" s="50">
        <v>1</v>
      </c>
      <c r="M14" s="17"/>
      <c r="N14" s="18"/>
      <c r="O14" s="18"/>
      <c r="P14" s="18"/>
      <c r="Q14" s="18"/>
      <c r="R14" s="18"/>
      <c r="S14" s="18"/>
    </row>
    <row r="15" spans="2:19" x14ac:dyDescent="0.15">
      <c r="B15" s="23" t="s">
        <v>20</v>
      </c>
      <c r="C15" s="203"/>
      <c r="D15" s="46"/>
      <c r="E15" s="46"/>
      <c r="F15" s="116"/>
      <c r="G15" s="46"/>
      <c r="H15" s="46"/>
      <c r="I15" s="46"/>
      <c r="J15" s="16"/>
      <c r="K15" s="15"/>
      <c r="M15" s="17"/>
      <c r="N15" s="18"/>
      <c r="O15" s="18"/>
      <c r="P15" s="18"/>
      <c r="Q15" s="18"/>
      <c r="R15" s="18"/>
      <c r="S15" s="18"/>
    </row>
    <row r="16" spans="2:19" x14ac:dyDescent="0.15">
      <c r="B16" s="42" t="s">
        <v>21</v>
      </c>
      <c r="C16" s="204"/>
      <c r="D16" s="43"/>
      <c r="E16" s="115"/>
      <c r="F16" s="43"/>
      <c r="G16" s="43"/>
      <c r="H16" s="43"/>
      <c r="I16" s="44"/>
      <c r="J16" s="44"/>
      <c r="K16" s="45"/>
      <c r="M16" s="17"/>
      <c r="N16" s="18"/>
      <c r="O16" s="18"/>
      <c r="P16" s="18"/>
      <c r="Q16" s="18"/>
      <c r="R16" s="18"/>
      <c r="S16" s="18"/>
    </row>
    <row r="17" spans="2:19" x14ac:dyDescent="0.15">
      <c r="B17" s="23" t="s">
        <v>22</v>
      </c>
      <c r="C17" s="203"/>
      <c r="D17" s="46"/>
      <c r="E17" s="46"/>
      <c r="F17" s="116"/>
      <c r="G17" s="46"/>
      <c r="H17" s="46"/>
      <c r="I17" s="46"/>
      <c r="J17" s="16"/>
      <c r="K17" s="15"/>
      <c r="M17" s="17"/>
      <c r="N17" s="18"/>
      <c r="O17" s="18"/>
      <c r="P17" s="18"/>
      <c r="Q17" s="18"/>
      <c r="R17" s="18"/>
      <c r="S17" s="18"/>
    </row>
    <row r="18" spans="2:19" x14ac:dyDescent="0.15">
      <c r="B18" s="23" t="s">
        <v>23</v>
      </c>
      <c r="C18" s="203"/>
      <c r="D18" s="46"/>
      <c r="E18" s="46"/>
      <c r="F18" s="116"/>
      <c r="G18" s="46"/>
      <c r="H18" s="46"/>
      <c r="I18" s="46"/>
      <c r="J18" s="16"/>
      <c r="K18" s="15"/>
      <c r="M18" s="17"/>
      <c r="N18" s="18"/>
      <c r="O18" s="18"/>
      <c r="P18" s="18"/>
      <c r="Q18" s="18"/>
      <c r="R18" s="18"/>
      <c r="S18" s="18"/>
    </row>
    <row r="19" spans="2:19" x14ac:dyDescent="0.15">
      <c r="B19" s="24" t="s">
        <v>254</v>
      </c>
      <c r="C19" s="205"/>
      <c r="D19" s="25"/>
      <c r="E19" s="117"/>
      <c r="F19" s="25"/>
      <c r="G19" s="25"/>
      <c r="H19" s="25"/>
      <c r="I19" s="26"/>
      <c r="J19" s="26"/>
      <c r="K19" s="27"/>
      <c r="M19" s="17"/>
      <c r="N19" s="18"/>
      <c r="O19" s="18"/>
      <c r="P19" s="18"/>
      <c r="Q19" s="18"/>
      <c r="R19" s="18"/>
      <c r="S19" s="18"/>
    </row>
    <row r="20" spans="2:19" x14ac:dyDescent="0.15">
      <c r="B20" s="22" t="s">
        <v>25</v>
      </c>
      <c r="C20" s="206">
        <v>4</v>
      </c>
      <c r="D20" s="206">
        <v>4</v>
      </c>
      <c r="E20" s="206">
        <v>4</v>
      </c>
      <c r="F20" s="200"/>
      <c r="G20" s="48"/>
      <c r="H20" s="48"/>
      <c r="I20" s="48"/>
      <c r="J20" s="16" t="s">
        <v>32</v>
      </c>
      <c r="K20" s="50">
        <v>7</v>
      </c>
      <c r="L20" s="3"/>
      <c r="M20" s="17"/>
      <c r="N20" s="18"/>
      <c r="O20" s="18"/>
      <c r="P20" s="18"/>
      <c r="Q20" s="18"/>
      <c r="R20" s="18"/>
      <c r="S20" s="18"/>
    </row>
    <row r="21" spans="2:19" x14ac:dyDescent="0.15">
      <c r="B21" s="22" t="s">
        <v>26</v>
      </c>
      <c r="C21" s="206">
        <v>30</v>
      </c>
      <c r="D21" s="206">
        <v>30</v>
      </c>
      <c r="E21" s="206">
        <v>30</v>
      </c>
      <c r="F21" s="201"/>
      <c r="G21" s="15"/>
      <c r="H21" s="15"/>
      <c r="I21" s="15"/>
      <c r="J21" s="16" t="s">
        <v>64</v>
      </c>
      <c r="K21" s="50">
        <v>7</v>
      </c>
      <c r="M21" s="17"/>
      <c r="N21" s="18"/>
      <c r="O21" s="18"/>
      <c r="P21" s="18"/>
      <c r="Q21" s="18"/>
      <c r="R21" s="18"/>
      <c r="S21" s="18"/>
    </row>
    <row r="22" spans="2:19" x14ac:dyDescent="0.15">
      <c r="B22" s="22" t="s">
        <v>27</v>
      </c>
      <c r="C22" s="206">
        <v>4</v>
      </c>
      <c r="D22" s="206">
        <v>4</v>
      </c>
      <c r="E22" s="206">
        <v>4</v>
      </c>
      <c r="F22" s="201"/>
      <c r="G22" s="15"/>
      <c r="H22" s="15"/>
      <c r="I22" s="15"/>
      <c r="J22" s="16" t="s">
        <v>66</v>
      </c>
      <c r="K22" s="50">
        <v>8</v>
      </c>
      <c r="M22" s="17"/>
      <c r="N22" s="18"/>
      <c r="O22" s="18"/>
      <c r="P22" s="18"/>
      <c r="Q22" s="18"/>
      <c r="R22" s="18"/>
      <c r="S22" s="18"/>
    </row>
    <row r="23" spans="2:19" x14ac:dyDescent="0.15">
      <c r="B23" s="22" t="s">
        <v>28</v>
      </c>
      <c r="C23" s="206">
        <v>12</v>
      </c>
      <c r="D23" s="206">
        <v>12</v>
      </c>
      <c r="E23" s="206">
        <v>12</v>
      </c>
      <c r="F23" s="201"/>
      <c r="G23" s="15"/>
      <c r="H23" s="15"/>
      <c r="I23" s="15"/>
      <c r="J23" s="16" t="s">
        <v>66</v>
      </c>
      <c r="K23" s="50">
        <v>8</v>
      </c>
      <c r="M23" s="17"/>
      <c r="N23" s="18"/>
      <c r="O23" s="18"/>
      <c r="P23" s="18"/>
      <c r="Q23" s="18"/>
      <c r="R23" s="18"/>
      <c r="S23" s="18"/>
    </row>
    <row r="24" spans="2:19" x14ac:dyDescent="0.15">
      <c r="B24" s="24" t="s">
        <v>29</v>
      </c>
      <c r="C24" s="207"/>
      <c r="D24" s="28"/>
      <c r="E24" s="29"/>
      <c r="F24" s="28"/>
      <c r="G24" s="28"/>
      <c r="H24" s="28"/>
      <c r="I24" s="28"/>
      <c r="J24" s="28"/>
      <c r="K24" s="29"/>
      <c r="M24" s="261"/>
      <c r="N24" s="261"/>
      <c r="O24" s="261"/>
      <c r="P24" s="261"/>
      <c r="Q24" s="261"/>
      <c r="R24" s="261"/>
      <c r="S24" s="261"/>
    </row>
    <row r="25" spans="2:19" x14ac:dyDescent="0.15">
      <c r="B25" s="22" t="s">
        <v>257</v>
      </c>
      <c r="C25" s="31">
        <f>150</f>
        <v>150</v>
      </c>
      <c r="D25" s="31">
        <v>100</v>
      </c>
      <c r="E25" s="31">
        <v>100</v>
      </c>
      <c r="F25" s="208"/>
      <c r="G25" s="31"/>
      <c r="H25" s="31"/>
      <c r="I25" s="31"/>
      <c r="J25" s="30"/>
      <c r="K25" s="50" t="s">
        <v>308</v>
      </c>
      <c r="M25" s="17"/>
      <c r="N25" s="18"/>
      <c r="O25" s="18"/>
      <c r="P25" s="18"/>
      <c r="Q25" s="18"/>
      <c r="R25" s="18"/>
      <c r="S25" s="18"/>
    </row>
    <row r="26" spans="2:19" x14ac:dyDescent="0.15">
      <c r="B26" s="22" t="s">
        <v>33</v>
      </c>
      <c r="C26" s="209">
        <v>97</v>
      </c>
      <c r="D26" s="209">
        <v>97</v>
      </c>
      <c r="E26" s="209">
        <v>97</v>
      </c>
      <c r="F26" s="208"/>
      <c r="G26" s="31"/>
      <c r="H26" s="31"/>
      <c r="I26" s="31"/>
      <c r="J26" s="30"/>
      <c r="K26" s="50" t="s">
        <v>308</v>
      </c>
      <c r="M26" s="17"/>
      <c r="N26" s="18"/>
      <c r="O26" s="210"/>
      <c r="P26" s="18"/>
      <c r="Q26" s="18"/>
      <c r="R26" s="18"/>
      <c r="S26" s="18"/>
    </row>
    <row r="27" spans="2:19" ht="15" customHeight="1" x14ac:dyDescent="0.15">
      <c r="B27" s="22" t="s">
        <v>34</v>
      </c>
      <c r="C27" s="209">
        <v>263</v>
      </c>
      <c r="D27" s="209">
        <v>263</v>
      </c>
      <c r="E27" s="209">
        <v>263</v>
      </c>
      <c r="F27" s="208"/>
      <c r="G27" s="31"/>
      <c r="H27" s="31"/>
      <c r="I27" s="31"/>
      <c r="J27" s="32"/>
      <c r="K27" s="50" t="s">
        <v>308</v>
      </c>
      <c r="M27" s="17"/>
      <c r="N27" s="18"/>
      <c r="O27" s="18"/>
      <c r="P27" s="18"/>
      <c r="Q27" s="18"/>
      <c r="R27" s="18"/>
      <c r="S27" s="18"/>
    </row>
    <row r="28" spans="2:19" x14ac:dyDescent="0.15">
      <c r="B28" s="22" t="s">
        <v>35</v>
      </c>
      <c r="C28" s="211"/>
      <c r="D28" s="31"/>
      <c r="E28" s="31"/>
      <c r="F28" s="208"/>
      <c r="G28" s="31"/>
      <c r="H28" s="31"/>
      <c r="I28" s="31"/>
      <c r="J28" s="16"/>
      <c r="K28" s="16"/>
      <c r="M28" s="17"/>
      <c r="N28" s="33"/>
      <c r="O28" s="212"/>
      <c r="P28" s="33"/>
      <c r="Q28" s="33"/>
      <c r="R28" s="18"/>
      <c r="S28" s="18"/>
    </row>
    <row r="29" spans="2:19" x14ac:dyDescent="0.15">
      <c r="B29" s="22" t="s">
        <v>36</v>
      </c>
      <c r="C29" s="211"/>
      <c r="D29" s="31"/>
      <c r="E29" s="31"/>
      <c r="F29" s="208"/>
      <c r="G29" s="31"/>
      <c r="H29" s="31"/>
      <c r="I29" s="31"/>
      <c r="J29" s="16"/>
      <c r="K29" s="16"/>
      <c r="L29" s="34"/>
      <c r="M29" s="261"/>
      <c r="N29" s="261"/>
      <c r="O29" s="261"/>
      <c r="P29" s="261"/>
      <c r="Q29" s="261"/>
      <c r="R29" s="261"/>
      <c r="S29" s="261"/>
    </row>
    <row r="30" spans="2:19" x14ac:dyDescent="0.15">
      <c r="B30" s="24" t="s">
        <v>37</v>
      </c>
      <c r="C30" s="207"/>
      <c r="D30" s="28"/>
      <c r="E30" s="29"/>
      <c r="F30" s="28"/>
      <c r="G30" s="28"/>
      <c r="H30" s="28"/>
      <c r="I30" s="28"/>
      <c r="J30" s="28"/>
      <c r="K30" s="29"/>
      <c r="M30" s="17"/>
      <c r="N30" s="18"/>
      <c r="O30" s="18"/>
      <c r="P30" s="18"/>
      <c r="Q30" s="18"/>
      <c r="R30" s="18"/>
      <c r="S30" s="18"/>
    </row>
    <row r="31" spans="2:19" x14ac:dyDescent="0.15">
      <c r="B31" s="22" t="s">
        <v>38</v>
      </c>
      <c r="C31" s="213">
        <v>1.95</v>
      </c>
      <c r="D31" s="49" t="str">
        <f>"+" &amp; MROUND(C31*0.92,0.01)</f>
        <v>+1.79</v>
      </c>
      <c r="E31" s="68" t="str">
        <f>"+" &amp; MROUND(C31*0.73,0.01)</f>
        <v>+1.42</v>
      </c>
      <c r="F31" s="214" t="s">
        <v>309</v>
      </c>
      <c r="G31" s="215" t="s">
        <v>310</v>
      </c>
      <c r="H31" s="68" t="str">
        <f>"+" &amp; MROUND(F31*0.73,0.01)</f>
        <v>+1.17</v>
      </c>
      <c r="I31" s="215" t="s">
        <v>311</v>
      </c>
      <c r="J31" s="16"/>
      <c r="K31" s="50" t="s">
        <v>312</v>
      </c>
      <c r="M31" s="17"/>
      <c r="N31" s="35"/>
      <c r="O31" s="35"/>
      <c r="P31" s="35"/>
      <c r="Q31" s="35"/>
      <c r="R31" s="18"/>
      <c r="S31" s="18"/>
    </row>
    <row r="32" spans="2:19" x14ac:dyDescent="0.15">
      <c r="B32" s="22" t="s">
        <v>117</v>
      </c>
      <c r="C32" s="31">
        <v>30</v>
      </c>
      <c r="D32" s="31">
        <v>30</v>
      </c>
      <c r="E32" s="31">
        <v>30</v>
      </c>
      <c r="F32" s="216">
        <v>25</v>
      </c>
      <c r="G32" s="36">
        <v>50</v>
      </c>
      <c r="H32" s="216">
        <v>25</v>
      </c>
      <c r="I32" s="36">
        <v>50</v>
      </c>
      <c r="J32" s="16"/>
      <c r="K32" s="16">
        <v>1</v>
      </c>
      <c r="M32" s="17"/>
      <c r="N32" s="35"/>
      <c r="O32" s="35"/>
      <c r="P32" s="35"/>
      <c r="Q32" s="35"/>
      <c r="R32" s="18"/>
      <c r="S32" s="18"/>
    </row>
    <row r="33" spans="1:19" x14ac:dyDescent="0.15">
      <c r="B33" s="22" t="s">
        <v>118</v>
      </c>
      <c r="C33" s="31">
        <v>70</v>
      </c>
      <c r="D33" s="31">
        <v>70</v>
      </c>
      <c r="E33" s="31">
        <v>70</v>
      </c>
      <c r="F33" s="216">
        <v>50</v>
      </c>
      <c r="G33" s="36">
        <v>75</v>
      </c>
      <c r="H33" s="36">
        <v>50</v>
      </c>
      <c r="I33" s="36">
        <v>75</v>
      </c>
      <c r="J33" s="16"/>
      <c r="K33" s="16">
        <v>1</v>
      </c>
      <c r="M33" s="17"/>
      <c r="N33" s="35"/>
      <c r="O33" s="35"/>
      <c r="P33" s="35"/>
      <c r="Q33" s="35"/>
      <c r="R33" s="18"/>
      <c r="S33" s="18"/>
    </row>
    <row r="34" spans="1:19" x14ac:dyDescent="0.15">
      <c r="B34" s="22" t="s">
        <v>42</v>
      </c>
      <c r="C34" s="217">
        <v>41800</v>
      </c>
      <c r="D34" s="82" t="str">
        <f>"+" &amp; MROUND(C34*0.97,100)</f>
        <v>+40500</v>
      </c>
      <c r="E34" s="82" t="str">
        <f>"+" &amp; MROUND(C34*0.94,100)</f>
        <v>+39300</v>
      </c>
      <c r="F34" s="218" t="s">
        <v>313</v>
      </c>
      <c r="G34" s="219" t="s">
        <v>314</v>
      </c>
      <c r="H34" s="219" t="s">
        <v>313</v>
      </c>
      <c r="I34" s="219" t="s">
        <v>314</v>
      </c>
      <c r="J34" s="16"/>
      <c r="K34" s="50" t="s">
        <v>315</v>
      </c>
      <c r="M34" s="17"/>
      <c r="N34" s="35"/>
      <c r="O34" s="35"/>
      <c r="P34" s="35"/>
      <c r="Q34" s="35"/>
      <c r="R34" s="18"/>
      <c r="S34" s="18"/>
    </row>
    <row r="35" spans="1:19" x14ac:dyDescent="0.15">
      <c r="B35" s="22" t="s">
        <v>45</v>
      </c>
      <c r="C35" s="220" t="s">
        <v>316</v>
      </c>
      <c r="D35" s="49" t="str">
        <f>"+" &amp; MROUND(C35*0.97,0.01)</f>
        <v>+3.01</v>
      </c>
      <c r="E35" s="120" t="str">
        <f>"+" &amp; MROUND(C35*0.94,0.01)</f>
        <v>+2.91</v>
      </c>
      <c r="F35" s="215" t="s">
        <v>317</v>
      </c>
      <c r="G35" s="214" t="s">
        <v>318</v>
      </c>
      <c r="H35" s="51" t="str">
        <f>"+" &amp; MROUND(F35*0.94,0.01)</f>
        <v>+2.35</v>
      </c>
      <c r="I35" s="51" t="str">
        <f>"+" &amp; MROUND(G35*0.94,0.01)</f>
        <v>+7.71</v>
      </c>
      <c r="J35" s="16"/>
      <c r="K35" s="50" t="s">
        <v>106</v>
      </c>
      <c r="M35" s="17"/>
      <c r="N35" s="35"/>
      <c r="O35" s="35"/>
      <c r="P35" s="35"/>
      <c r="Q35" s="35"/>
      <c r="R35" s="18"/>
      <c r="S35" s="18"/>
    </row>
    <row r="36" spans="1:19" x14ac:dyDescent="0.15">
      <c r="A36" s="3"/>
      <c r="L36" s="4"/>
    </row>
    <row r="37" spans="1:19" s="1" customFormat="1" ht="12" x14ac:dyDescent="0.15">
      <c r="A37" s="3" t="s">
        <v>50</v>
      </c>
      <c r="C37" s="40"/>
      <c r="D37" s="40"/>
      <c r="E37" s="40"/>
      <c r="F37" s="40"/>
      <c r="G37" s="40"/>
    </row>
    <row r="38" spans="1:19" x14ac:dyDescent="0.15">
      <c r="A38" s="53">
        <v>1</v>
      </c>
      <c r="B38" s="53" t="s">
        <v>319</v>
      </c>
    </row>
    <row r="39" spans="1:19" x14ac:dyDescent="0.15">
      <c r="A39" s="53">
        <v>2</v>
      </c>
      <c r="B39" s="53" t="s">
        <v>320</v>
      </c>
    </row>
    <row r="40" spans="1:19" x14ac:dyDescent="0.15">
      <c r="A40" s="53">
        <v>3</v>
      </c>
      <c r="B40" s="53" t="s">
        <v>273</v>
      </c>
    </row>
    <row r="41" spans="1:19" x14ac:dyDescent="0.15">
      <c r="A41" s="53">
        <v>4</v>
      </c>
      <c r="B41" s="53" t="s">
        <v>271</v>
      </c>
    </row>
    <row r="42" spans="1:19" x14ac:dyDescent="0.15">
      <c r="A42" s="53">
        <v>5</v>
      </c>
      <c r="B42" s="53" t="s">
        <v>321</v>
      </c>
    </row>
    <row r="43" spans="1:19" ht="33" customHeight="1" x14ac:dyDescent="0.15">
      <c r="A43" s="53">
        <v>6</v>
      </c>
      <c r="B43" s="255" t="s">
        <v>322</v>
      </c>
      <c r="C43" s="255"/>
      <c r="D43" s="255"/>
      <c r="E43" s="255"/>
      <c r="F43" s="255"/>
      <c r="G43" s="255"/>
      <c r="H43" s="255"/>
      <c r="I43" s="255"/>
      <c r="J43" s="255"/>
      <c r="K43" s="255"/>
    </row>
    <row r="44" spans="1:19" x14ac:dyDescent="0.15">
      <c r="A44" s="53">
        <v>7</v>
      </c>
      <c r="B44" s="53" t="s">
        <v>323</v>
      </c>
    </row>
    <row r="45" spans="1:19" x14ac:dyDescent="0.15">
      <c r="A45" s="53">
        <v>8</v>
      </c>
      <c r="B45" s="53" t="s">
        <v>271</v>
      </c>
    </row>
    <row r="46" spans="1:19" x14ac:dyDescent="0.15">
      <c r="A46" s="53">
        <v>9</v>
      </c>
      <c r="B46" s="53" t="s">
        <v>274</v>
      </c>
    </row>
    <row r="47" spans="1:19" x14ac:dyDescent="0.15">
      <c r="A47" s="53">
        <v>10</v>
      </c>
      <c r="B47" s="53" t="s">
        <v>324</v>
      </c>
    </row>
    <row r="48" spans="1:19" x14ac:dyDescent="0.15">
      <c r="A48" s="3" t="s">
        <v>59</v>
      </c>
    </row>
    <row r="49" spans="1:11" x14ac:dyDescent="0.15">
      <c r="A49" s="52" t="s">
        <v>13</v>
      </c>
      <c r="B49" s="53" t="s">
        <v>325</v>
      </c>
      <c r="C49" s="53"/>
      <c r="D49" s="53"/>
      <c r="E49" s="53"/>
      <c r="F49" s="53"/>
      <c r="G49" s="53"/>
      <c r="H49" s="53"/>
      <c r="I49" s="53"/>
      <c r="J49" s="53"/>
      <c r="K49" s="53"/>
    </row>
    <row r="50" spans="1:11" ht="25.5" customHeight="1" x14ac:dyDescent="0.15">
      <c r="A50" s="52" t="s">
        <v>61</v>
      </c>
      <c r="B50" s="255" t="s">
        <v>326</v>
      </c>
      <c r="C50" s="255"/>
      <c r="D50" s="255"/>
      <c r="E50" s="255"/>
      <c r="F50" s="255"/>
      <c r="G50" s="255"/>
      <c r="H50" s="255"/>
      <c r="I50" s="255"/>
      <c r="J50" s="53"/>
      <c r="K50" s="53"/>
    </row>
    <row r="51" spans="1:11" x14ac:dyDescent="0.15">
      <c r="A51" s="52" t="s">
        <v>32</v>
      </c>
      <c r="B51" s="255" t="s">
        <v>327</v>
      </c>
      <c r="C51" s="255"/>
      <c r="D51" s="255"/>
      <c r="E51" s="255"/>
      <c r="F51" s="255"/>
      <c r="G51" s="255"/>
      <c r="H51" s="255"/>
      <c r="I51" s="255"/>
      <c r="J51" s="255"/>
      <c r="K51" s="255"/>
    </row>
    <row r="52" spans="1:11" s="1" customFormat="1" ht="12" x14ac:dyDescent="0.15">
      <c r="A52" s="52" t="s">
        <v>64</v>
      </c>
      <c r="B52" s="53" t="s">
        <v>328</v>
      </c>
      <c r="C52" s="53"/>
      <c r="D52" s="53"/>
      <c r="E52" s="53"/>
      <c r="F52" s="53"/>
      <c r="G52" s="53"/>
      <c r="H52" s="53"/>
      <c r="I52" s="53"/>
      <c r="J52" s="53"/>
      <c r="K52" s="53"/>
    </row>
    <row r="53" spans="1:11" s="1" customFormat="1" ht="12" x14ac:dyDescent="0.15">
      <c r="A53" s="52" t="s">
        <v>66</v>
      </c>
      <c r="B53" s="53" t="s">
        <v>329</v>
      </c>
      <c r="C53" s="53"/>
      <c r="D53" s="53"/>
      <c r="E53" s="53"/>
      <c r="F53" s="53"/>
      <c r="G53" s="53"/>
      <c r="H53" s="53"/>
      <c r="I53" s="53"/>
      <c r="J53" s="53"/>
      <c r="K53" s="53"/>
    </row>
    <row r="54" spans="1:11" s="1" customFormat="1" ht="12" x14ac:dyDescent="0.15">
      <c r="A54" s="52"/>
      <c r="B54" s="53"/>
      <c r="C54" s="53"/>
      <c r="D54" s="53"/>
      <c r="E54" s="53"/>
      <c r="F54" s="53"/>
      <c r="G54" s="53"/>
      <c r="H54" s="53"/>
      <c r="I54" s="53"/>
      <c r="J54" s="53"/>
      <c r="K54" s="53"/>
    </row>
    <row r="55" spans="1:11" s="1" customFormat="1" ht="12" x14ac:dyDescent="0.15">
      <c r="A55" s="52"/>
      <c r="B55" s="53"/>
      <c r="C55" s="53"/>
      <c r="D55" s="53"/>
      <c r="E55" s="53"/>
      <c r="F55" s="53"/>
      <c r="G55" s="53"/>
      <c r="H55" s="53"/>
      <c r="I55" s="53"/>
      <c r="J55" s="53"/>
      <c r="K55" s="53"/>
    </row>
    <row r="56" spans="1:11" s="1" customFormat="1" ht="12" x14ac:dyDescent="0.15">
      <c r="A56" s="52"/>
      <c r="B56" s="53"/>
      <c r="C56" s="53"/>
      <c r="D56" s="53"/>
      <c r="E56" s="53"/>
      <c r="F56" s="53"/>
      <c r="G56" s="53"/>
      <c r="H56" s="53"/>
      <c r="I56" s="53"/>
      <c r="J56" s="53"/>
      <c r="K56" s="53"/>
    </row>
  </sheetData>
  <mergeCells count="11">
    <mergeCell ref="N6:S6"/>
    <mergeCell ref="C3:K3"/>
    <mergeCell ref="N3:S3"/>
    <mergeCell ref="F4:G4"/>
    <mergeCell ref="H4:I4"/>
    <mergeCell ref="M5:S5"/>
    <mergeCell ref="M24:S24"/>
    <mergeCell ref="M29:S29"/>
    <mergeCell ref="B43:K43"/>
    <mergeCell ref="B50:I50"/>
    <mergeCell ref="B51:K51"/>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1729C-3EBE-43CE-9D07-92CFAFB6DE2C}">
  <sheetPr>
    <tabColor theme="3" tint="0.39997558519241921"/>
  </sheetPr>
  <dimension ref="A1:S56"/>
  <sheetViews>
    <sheetView zoomScale="98" zoomScaleNormal="98" zoomScaleSheetLayoutView="120" workbookViewId="0">
      <selection activeCell="I56" sqref="I56"/>
    </sheetView>
  </sheetViews>
  <sheetFormatPr baseColWidth="10" defaultColWidth="9.1640625" defaultRowHeight="14" x14ac:dyDescent="0.15"/>
  <cols>
    <col min="1" max="1" width="3" style="1" customWidth="1"/>
    <col min="2" max="2" width="35.5" style="1" customWidth="1"/>
    <col min="3" max="3" width="9.1640625" style="1" customWidth="1"/>
    <col min="4"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330</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197">
        <v>-40</v>
      </c>
      <c r="D6" s="197">
        <v>-40</v>
      </c>
      <c r="E6" s="197">
        <v>-40</v>
      </c>
      <c r="F6" s="47"/>
      <c r="G6" s="47"/>
      <c r="H6" s="47"/>
      <c r="I6" s="47"/>
      <c r="J6" s="15" t="s">
        <v>13</v>
      </c>
      <c r="K6" s="50">
        <v>1</v>
      </c>
      <c r="M6" s="17"/>
      <c r="N6" s="253"/>
      <c r="O6" s="254"/>
      <c r="P6" s="254"/>
      <c r="Q6" s="254"/>
      <c r="R6" s="254"/>
      <c r="S6" s="254"/>
    </row>
    <row r="7" spans="2:19" ht="17.25" customHeight="1" x14ac:dyDescent="0.15">
      <c r="B7" s="13" t="s">
        <v>11</v>
      </c>
      <c r="C7" s="197">
        <v>-40</v>
      </c>
      <c r="D7" s="197">
        <v>-40</v>
      </c>
      <c r="E7" s="197">
        <v>-40</v>
      </c>
      <c r="F7" s="47"/>
      <c r="G7" s="47"/>
      <c r="H7" s="47"/>
      <c r="I7" s="47"/>
      <c r="J7" s="15" t="s">
        <v>13</v>
      </c>
      <c r="K7" s="50">
        <v>1</v>
      </c>
      <c r="M7" s="17"/>
      <c r="N7" s="60"/>
      <c r="O7" s="61"/>
      <c r="P7" s="61"/>
      <c r="Q7" s="61"/>
      <c r="R7" s="61"/>
      <c r="S7" s="61"/>
    </row>
    <row r="8" spans="2:19" x14ac:dyDescent="0.15">
      <c r="B8" s="13" t="s">
        <v>12</v>
      </c>
      <c r="C8" s="197">
        <v>-7</v>
      </c>
      <c r="D8" s="197">
        <v>-7</v>
      </c>
      <c r="E8" s="197">
        <v>-7</v>
      </c>
      <c r="F8" s="47"/>
      <c r="G8" s="47"/>
      <c r="H8" s="47"/>
      <c r="I8" s="47"/>
      <c r="J8" s="15"/>
      <c r="K8" s="46">
        <v>1</v>
      </c>
      <c r="M8" s="17"/>
      <c r="N8" s="18"/>
      <c r="O8" s="18"/>
      <c r="P8" s="18"/>
      <c r="Q8" s="18"/>
      <c r="R8" s="18"/>
      <c r="S8" s="18"/>
    </row>
    <row r="9" spans="2:19" x14ac:dyDescent="0.15">
      <c r="B9" s="19" t="s">
        <v>14</v>
      </c>
      <c r="C9" s="197">
        <v>-8</v>
      </c>
      <c r="D9" s="197">
        <v>-8</v>
      </c>
      <c r="E9" s="197">
        <v>-8</v>
      </c>
      <c r="F9" s="47"/>
      <c r="G9" s="47"/>
      <c r="H9" s="47"/>
      <c r="I9" s="47"/>
      <c r="J9" s="20"/>
      <c r="K9" s="46">
        <v>1</v>
      </c>
      <c r="M9" s="17"/>
      <c r="N9" s="18"/>
      <c r="O9" s="18"/>
      <c r="P9" s="18"/>
      <c r="Q9" s="18"/>
      <c r="R9" s="18"/>
      <c r="S9" s="18"/>
    </row>
    <row r="10" spans="2:19" x14ac:dyDescent="0.15">
      <c r="B10" s="13" t="s">
        <v>15</v>
      </c>
      <c r="C10" s="197">
        <v>5</v>
      </c>
      <c r="D10" s="197">
        <v>5</v>
      </c>
      <c r="E10" s="197">
        <v>5</v>
      </c>
      <c r="F10" s="47"/>
      <c r="G10" s="47"/>
      <c r="H10" s="47"/>
      <c r="I10" s="47"/>
      <c r="J10" s="15"/>
      <c r="K10" s="50"/>
      <c r="M10" s="1"/>
      <c r="N10" s="21"/>
      <c r="O10" s="21"/>
      <c r="P10" s="21"/>
      <c r="Q10" s="21"/>
      <c r="R10" s="21"/>
      <c r="S10" s="18"/>
    </row>
    <row r="11" spans="2:19" x14ac:dyDescent="0.15">
      <c r="B11" s="22" t="s">
        <v>16</v>
      </c>
      <c r="C11" s="197"/>
      <c r="D11" s="47"/>
      <c r="E11" s="47"/>
      <c r="F11" s="47"/>
      <c r="G11" s="47"/>
      <c r="H11" s="47"/>
      <c r="I11" s="47"/>
      <c r="J11" s="15"/>
      <c r="K11" s="50"/>
      <c r="M11" s="1"/>
      <c r="N11" s="21"/>
      <c r="O11" s="21"/>
      <c r="P11" s="21"/>
      <c r="Q11" s="21"/>
      <c r="R11" s="21"/>
      <c r="S11" s="18"/>
    </row>
    <row r="12" spans="2:19" x14ac:dyDescent="0.15">
      <c r="B12" s="22" t="s">
        <v>17</v>
      </c>
      <c r="C12" s="197" t="s">
        <v>31</v>
      </c>
      <c r="D12" s="47"/>
      <c r="E12" s="47"/>
      <c r="F12" s="47"/>
      <c r="G12" s="47"/>
      <c r="H12" s="47"/>
      <c r="I12" s="47"/>
      <c r="J12" s="15"/>
      <c r="K12" s="50"/>
      <c r="M12" s="17"/>
      <c r="N12" s="18"/>
      <c r="O12" s="18"/>
      <c r="P12" s="18"/>
      <c r="Q12" s="18"/>
      <c r="R12" s="18"/>
      <c r="S12" s="18"/>
    </row>
    <row r="13" spans="2:19" x14ac:dyDescent="0.15">
      <c r="B13" s="22" t="s">
        <v>18</v>
      </c>
      <c r="C13" s="197"/>
      <c r="D13" s="14"/>
      <c r="E13" s="14"/>
      <c r="F13" s="15"/>
      <c r="G13" s="15"/>
      <c r="H13" s="15"/>
      <c r="I13" s="47"/>
      <c r="J13" s="15"/>
      <c r="K13" s="50"/>
      <c r="M13" s="17"/>
      <c r="N13" s="18"/>
      <c r="O13" s="18"/>
      <c r="P13" s="18"/>
      <c r="Q13" s="18"/>
      <c r="R13" s="18"/>
      <c r="S13" s="18"/>
    </row>
    <row r="14" spans="2:19" x14ac:dyDescent="0.15">
      <c r="B14" s="146" t="s">
        <v>307</v>
      </c>
      <c r="C14" s="197">
        <v>-87.46</v>
      </c>
      <c r="D14" s="197">
        <v>-90</v>
      </c>
      <c r="E14" s="197">
        <v>-90</v>
      </c>
      <c r="F14" s="221"/>
      <c r="G14" s="47"/>
      <c r="H14" s="202" t="s">
        <v>331</v>
      </c>
      <c r="I14" s="47">
        <v>-99</v>
      </c>
      <c r="J14" s="15" t="s">
        <v>61</v>
      </c>
      <c r="K14" s="50">
        <v>1</v>
      </c>
      <c r="M14" s="17"/>
      <c r="N14" s="18"/>
      <c r="O14" s="18"/>
      <c r="P14" s="18"/>
      <c r="Q14" s="18"/>
      <c r="R14" s="18"/>
      <c r="S14" s="18"/>
    </row>
    <row r="15" spans="2:19" x14ac:dyDescent="0.15">
      <c r="B15" s="23" t="s">
        <v>20</v>
      </c>
      <c r="C15" s="197"/>
      <c r="D15" s="47"/>
      <c r="E15" s="47"/>
      <c r="F15" s="47"/>
      <c r="G15" s="47"/>
      <c r="H15" s="47"/>
      <c r="I15" s="47"/>
      <c r="J15" s="15"/>
      <c r="K15" s="15"/>
      <c r="M15" s="17"/>
      <c r="N15" s="18"/>
      <c r="O15" s="18"/>
      <c r="P15" s="18"/>
      <c r="Q15" s="18"/>
      <c r="R15" s="18"/>
      <c r="S15" s="18"/>
    </row>
    <row r="16" spans="2:19" x14ac:dyDescent="0.15">
      <c r="B16" s="42" t="s">
        <v>21</v>
      </c>
      <c r="C16" s="204"/>
      <c r="D16" s="43"/>
      <c r="E16" s="43"/>
      <c r="F16" s="43"/>
      <c r="G16" s="43"/>
      <c r="H16" s="43"/>
      <c r="I16" s="44"/>
      <c r="J16" s="44"/>
      <c r="K16" s="45"/>
      <c r="M16" s="17"/>
      <c r="N16" s="18"/>
      <c r="O16" s="18"/>
      <c r="P16" s="18"/>
      <c r="Q16" s="18"/>
      <c r="R16" s="18"/>
      <c r="S16" s="18"/>
    </row>
    <row r="17" spans="2:19" x14ac:dyDescent="0.15">
      <c r="B17" s="23" t="s">
        <v>22</v>
      </c>
      <c r="C17" s="197" t="s">
        <v>31</v>
      </c>
      <c r="D17" s="47" t="s">
        <v>31</v>
      </c>
      <c r="E17" s="47" t="s">
        <v>31</v>
      </c>
      <c r="F17" s="47"/>
      <c r="G17" s="47"/>
      <c r="H17" s="47"/>
      <c r="I17" s="47"/>
      <c r="J17" s="15"/>
      <c r="K17" s="46"/>
      <c r="M17" s="17"/>
      <c r="N17" s="18"/>
      <c r="O17" s="18"/>
      <c r="P17" s="18"/>
      <c r="Q17" s="18"/>
      <c r="R17" s="18"/>
      <c r="S17" s="18"/>
    </row>
    <row r="18" spans="2:19" x14ac:dyDescent="0.15">
      <c r="B18" s="23" t="s">
        <v>23</v>
      </c>
      <c r="C18" s="197" t="s">
        <v>31</v>
      </c>
      <c r="D18" s="47" t="s">
        <v>31</v>
      </c>
      <c r="E18" s="47" t="s">
        <v>31</v>
      </c>
      <c r="F18" s="47"/>
      <c r="G18" s="47"/>
      <c r="H18" s="47"/>
      <c r="I18" s="47"/>
      <c r="J18" s="15"/>
      <c r="K18" s="46"/>
      <c r="M18" s="17"/>
      <c r="N18" s="18"/>
      <c r="O18" s="18"/>
      <c r="P18" s="18"/>
      <c r="Q18" s="18"/>
      <c r="R18" s="18"/>
      <c r="S18" s="18"/>
    </row>
    <row r="19" spans="2:19" x14ac:dyDescent="0.15">
      <c r="B19" s="24" t="s">
        <v>24</v>
      </c>
      <c r="C19" s="205"/>
      <c r="D19" s="25"/>
      <c r="E19" s="25"/>
      <c r="F19" s="25"/>
      <c r="G19" s="25"/>
      <c r="H19" s="25"/>
      <c r="I19" s="26"/>
      <c r="J19" s="26"/>
      <c r="K19" s="27"/>
      <c r="M19" s="17"/>
      <c r="N19" s="18"/>
      <c r="O19" s="18"/>
      <c r="P19" s="18"/>
      <c r="Q19" s="18"/>
      <c r="R19" s="18"/>
      <c r="S19" s="18"/>
    </row>
    <row r="20" spans="2:19" x14ac:dyDescent="0.15">
      <c r="B20" s="22" t="s">
        <v>25</v>
      </c>
      <c r="C20" s="47">
        <v>20</v>
      </c>
      <c r="D20" s="47">
        <v>20</v>
      </c>
      <c r="E20" s="47">
        <v>20</v>
      </c>
      <c r="F20" s="47"/>
      <c r="G20" s="47"/>
      <c r="H20" s="47"/>
      <c r="I20" s="46"/>
      <c r="J20" s="16" t="s">
        <v>32</v>
      </c>
      <c r="K20" s="50">
        <v>6</v>
      </c>
      <c r="L20" s="3"/>
      <c r="M20" s="17"/>
      <c r="N20" s="18"/>
      <c r="O20" s="18"/>
      <c r="P20" s="18"/>
      <c r="Q20" s="18"/>
      <c r="R20" s="18"/>
      <c r="S20" s="18"/>
    </row>
    <row r="21" spans="2:19" x14ac:dyDescent="0.15">
      <c r="B21" s="22" t="s">
        <v>26</v>
      </c>
      <c r="C21" s="47">
        <v>45</v>
      </c>
      <c r="D21" s="47">
        <v>45</v>
      </c>
      <c r="E21" s="47">
        <v>45</v>
      </c>
      <c r="F21" s="47"/>
      <c r="G21" s="47"/>
      <c r="H21" s="47"/>
      <c r="I21" s="46"/>
      <c r="J21" s="16" t="s">
        <v>64</v>
      </c>
      <c r="K21" s="50">
        <v>6</v>
      </c>
      <c r="M21" s="17"/>
      <c r="N21" s="18"/>
      <c r="O21" s="18"/>
      <c r="P21" s="18"/>
      <c r="Q21" s="18"/>
      <c r="R21" s="18"/>
      <c r="S21" s="18"/>
    </row>
    <row r="22" spans="2:19" x14ac:dyDescent="0.15">
      <c r="B22" s="22" t="s">
        <v>27</v>
      </c>
      <c r="C22" s="14">
        <v>2</v>
      </c>
      <c r="D22" s="14">
        <v>2</v>
      </c>
      <c r="E22" s="14">
        <v>2</v>
      </c>
      <c r="F22" s="47"/>
      <c r="G22" s="47"/>
      <c r="H22" s="14"/>
      <c r="I22" s="46"/>
      <c r="J22" s="16" t="s">
        <v>66</v>
      </c>
      <c r="K22" s="50">
        <v>4</v>
      </c>
      <c r="M22" s="17"/>
      <c r="N22" s="18"/>
      <c r="O22" s="18"/>
      <c r="P22" s="18"/>
      <c r="Q22" s="18"/>
      <c r="R22" s="18"/>
      <c r="S22" s="18"/>
    </row>
    <row r="23" spans="2:19" x14ac:dyDescent="0.15">
      <c r="B23" s="22" t="s">
        <v>28</v>
      </c>
      <c r="C23" s="14">
        <v>4</v>
      </c>
      <c r="D23" s="14">
        <v>4</v>
      </c>
      <c r="E23" s="14">
        <v>4</v>
      </c>
      <c r="F23" s="47"/>
      <c r="G23" s="47"/>
      <c r="H23" s="47"/>
      <c r="I23" s="47"/>
      <c r="J23" s="15" t="s">
        <v>66</v>
      </c>
      <c r="K23" s="50">
        <v>4</v>
      </c>
      <c r="M23" s="17"/>
      <c r="N23" s="18"/>
      <c r="O23" s="18"/>
      <c r="P23" s="18"/>
      <c r="Q23" s="18"/>
      <c r="R23" s="18"/>
      <c r="S23" s="18"/>
    </row>
    <row r="24" spans="2:19" x14ac:dyDescent="0.15">
      <c r="B24" s="24" t="s">
        <v>29</v>
      </c>
      <c r="C24" s="207"/>
      <c r="D24" s="28"/>
      <c r="E24" s="28"/>
      <c r="F24" s="28"/>
      <c r="G24" s="28"/>
      <c r="H24" s="28"/>
      <c r="I24" s="28"/>
      <c r="J24" s="28"/>
      <c r="K24" s="29"/>
      <c r="M24" s="261"/>
      <c r="N24" s="261"/>
      <c r="O24" s="261"/>
      <c r="P24" s="261"/>
      <c r="Q24" s="261"/>
      <c r="R24" s="261"/>
      <c r="S24" s="261"/>
    </row>
    <row r="25" spans="2:19" x14ac:dyDescent="0.15">
      <c r="B25" s="22" t="s">
        <v>257</v>
      </c>
      <c r="C25" s="31">
        <v>30</v>
      </c>
      <c r="D25" s="31">
        <v>30</v>
      </c>
      <c r="E25" s="31">
        <v>30</v>
      </c>
      <c r="F25" s="31"/>
      <c r="G25" s="31"/>
      <c r="H25" s="31"/>
      <c r="I25" s="31"/>
      <c r="J25" s="30"/>
      <c r="K25" s="50" t="s">
        <v>332</v>
      </c>
      <c r="M25" s="17"/>
      <c r="N25" s="18"/>
      <c r="O25" s="18"/>
      <c r="P25" s="18"/>
      <c r="Q25" s="18"/>
      <c r="R25" s="18"/>
      <c r="S25" s="18"/>
    </row>
    <row r="26" spans="2:19" x14ac:dyDescent="0.15">
      <c r="B26" s="22" t="s">
        <v>33</v>
      </c>
      <c r="C26" s="31">
        <v>99</v>
      </c>
      <c r="D26" s="31">
        <v>99</v>
      </c>
      <c r="E26" s="31">
        <v>99</v>
      </c>
      <c r="F26" s="31"/>
      <c r="G26" s="31"/>
      <c r="H26" s="31"/>
      <c r="I26" s="31"/>
      <c r="J26" s="30"/>
      <c r="K26" s="50" t="s">
        <v>332</v>
      </c>
      <c r="M26" s="17"/>
      <c r="N26" s="18"/>
      <c r="O26" s="18"/>
      <c r="P26" s="18"/>
      <c r="Q26" s="18"/>
      <c r="R26" s="18"/>
      <c r="S26" s="18"/>
    </row>
    <row r="27" spans="2:19" ht="15" customHeight="1" x14ac:dyDescent="0.15">
      <c r="B27" s="22" t="s">
        <v>34</v>
      </c>
      <c r="C27" s="31">
        <v>80</v>
      </c>
      <c r="D27" s="31">
        <v>80</v>
      </c>
      <c r="E27" s="31">
        <v>80</v>
      </c>
      <c r="F27" s="31"/>
      <c r="G27" s="31"/>
      <c r="H27" s="31"/>
      <c r="I27" s="31"/>
      <c r="J27" s="32"/>
      <c r="K27" s="50" t="s">
        <v>332</v>
      </c>
      <c r="M27" s="17"/>
      <c r="N27" s="18"/>
      <c r="O27" s="18"/>
      <c r="P27" s="18"/>
      <c r="Q27" s="18"/>
      <c r="R27" s="18"/>
      <c r="S27" s="18"/>
    </row>
    <row r="28" spans="2:19" x14ac:dyDescent="0.15">
      <c r="B28" s="22" t="s">
        <v>35</v>
      </c>
      <c r="C28" s="31" t="s">
        <v>31</v>
      </c>
      <c r="D28" s="31" t="s">
        <v>31</v>
      </c>
      <c r="E28" s="31" t="s">
        <v>31</v>
      </c>
      <c r="F28" s="31"/>
      <c r="G28" s="31"/>
      <c r="H28" s="31"/>
      <c r="I28" s="31"/>
      <c r="J28" s="16"/>
      <c r="K28" s="16"/>
      <c r="M28" s="17"/>
      <c r="N28" s="33"/>
      <c r="O28" s="33"/>
      <c r="P28" s="33"/>
      <c r="Q28" s="33"/>
      <c r="R28" s="18"/>
      <c r="S28" s="18"/>
    </row>
    <row r="29" spans="2:19" x14ac:dyDescent="0.15">
      <c r="B29" s="22" t="s">
        <v>36</v>
      </c>
      <c r="C29" s="31" t="s">
        <v>31</v>
      </c>
      <c r="D29" s="31" t="s">
        <v>31</v>
      </c>
      <c r="E29" s="31" t="s">
        <v>31</v>
      </c>
      <c r="F29" s="31"/>
      <c r="G29" s="31"/>
      <c r="H29" s="31"/>
      <c r="I29" s="31"/>
      <c r="J29" s="16"/>
      <c r="K29" s="16"/>
      <c r="L29" s="34"/>
      <c r="M29" s="261"/>
      <c r="N29" s="261"/>
      <c r="O29" s="261"/>
      <c r="P29" s="261"/>
      <c r="Q29" s="261"/>
      <c r="R29" s="261"/>
      <c r="S29" s="261"/>
    </row>
    <row r="30" spans="2:19" x14ac:dyDescent="0.15">
      <c r="B30" s="24" t="s">
        <v>37</v>
      </c>
      <c r="C30" s="207"/>
      <c r="D30" s="28"/>
      <c r="E30" s="28"/>
      <c r="F30" s="28"/>
      <c r="G30" s="28"/>
      <c r="H30" s="28"/>
      <c r="I30" s="28"/>
      <c r="J30" s="28"/>
      <c r="K30" s="29"/>
      <c r="M30" s="17"/>
      <c r="N30" s="18"/>
      <c r="O30" s="18"/>
      <c r="P30" s="18"/>
      <c r="Q30" s="18"/>
      <c r="R30" s="18"/>
      <c r="S30" s="18"/>
    </row>
    <row r="31" spans="2:19" x14ac:dyDescent="0.15">
      <c r="B31" s="146" t="s">
        <v>38</v>
      </c>
      <c r="C31" s="222">
        <v>1.1499999999999999</v>
      </c>
      <c r="D31" s="49" t="str">
        <f>"+" &amp; MROUND(C31*0.84,0.01)</f>
        <v>+0.97</v>
      </c>
      <c r="E31" s="47" t="str">
        <f>"+" &amp; MROUND(C31*0.65,0.01)</f>
        <v>+0.75</v>
      </c>
      <c r="F31" s="223" t="s">
        <v>333</v>
      </c>
      <c r="G31" s="223" t="s">
        <v>334</v>
      </c>
      <c r="H31" s="223" t="s">
        <v>335</v>
      </c>
      <c r="I31" s="224" t="s">
        <v>336</v>
      </c>
      <c r="J31" s="78"/>
      <c r="K31" s="79" t="s">
        <v>337</v>
      </c>
      <c r="M31" s="17"/>
      <c r="N31" s="35"/>
      <c r="O31" s="35"/>
      <c r="P31" s="35"/>
      <c r="Q31" s="35"/>
      <c r="R31" s="18"/>
      <c r="S31" s="18"/>
    </row>
    <row r="32" spans="2:19" x14ac:dyDescent="0.15">
      <c r="B32" s="22" t="s">
        <v>117</v>
      </c>
      <c r="C32" s="209">
        <v>40</v>
      </c>
      <c r="D32" s="209">
        <v>40</v>
      </c>
      <c r="E32" s="209">
        <v>40</v>
      </c>
      <c r="F32" s="83">
        <v>30</v>
      </c>
      <c r="G32" s="83">
        <v>60</v>
      </c>
      <c r="H32" s="83">
        <v>30</v>
      </c>
      <c r="I32" s="83">
        <v>60</v>
      </c>
      <c r="J32" s="78"/>
      <c r="K32" s="78">
        <v>1</v>
      </c>
      <c r="M32" s="17"/>
      <c r="N32" s="35"/>
      <c r="O32" s="35"/>
      <c r="P32" s="35"/>
      <c r="Q32" s="35"/>
      <c r="R32" s="18"/>
      <c r="S32" s="18"/>
    </row>
    <row r="33" spans="1:19" x14ac:dyDescent="0.15">
      <c r="B33" s="22" t="s">
        <v>118</v>
      </c>
      <c r="C33" s="209">
        <v>60</v>
      </c>
      <c r="D33" s="209">
        <v>60</v>
      </c>
      <c r="E33" s="209">
        <v>60</v>
      </c>
      <c r="F33" s="83">
        <v>40</v>
      </c>
      <c r="G33" s="83">
        <v>70</v>
      </c>
      <c r="H33" s="83">
        <v>40</v>
      </c>
      <c r="I33" s="83">
        <v>70</v>
      </c>
      <c r="J33" s="78"/>
      <c r="K33" s="78">
        <v>1</v>
      </c>
      <c r="M33" s="17"/>
      <c r="N33" s="35"/>
      <c r="O33" s="35"/>
      <c r="P33" s="35"/>
      <c r="Q33" s="35"/>
      <c r="R33" s="18"/>
      <c r="S33" s="18"/>
    </row>
    <row r="34" spans="1:19" x14ac:dyDescent="0.15">
      <c r="B34" s="146" t="s">
        <v>42</v>
      </c>
      <c r="C34" s="217">
        <v>9000</v>
      </c>
      <c r="D34" s="82" t="str">
        <f>"+" &amp; MROUND(C34*0.97,100)</f>
        <v>+8700</v>
      </c>
      <c r="E34" s="82" t="str">
        <f>"+" &amp; MROUND(C34*0.94,100)</f>
        <v>+8500</v>
      </c>
      <c r="F34" s="225" t="s">
        <v>338</v>
      </c>
      <c r="G34" s="225" t="s">
        <v>339</v>
      </c>
      <c r="H34" s="83" t="str">
        <f>"+" &amp; MROUND(F34*0.94,100)</f>
        <v>+6600</v>
      </c>
      <c r="I34" s="225" t="s">
        <v>339</v>
      </c>
      <c r="J34" s="78"/>
      <c r="K34" s="79" t="s">
        <v>337</v>
      </c>
      <c r="M34" s="17"/>
      <c r="N34" s="35"/>
      <c r="O34" s="35"/>
      <c r="P34" s="35"/>
      <c r="Q34" s="35"/>
      <c r="R34" s="18"/>
      <c r="S34" s="18"/>
    </row>
    <row r="35" spans="1:19" x14ac:dyDescent="0.15">
      <c r="B35" s="22" t="s">
        <v>45</v>
      </c>
      <c r="C35" s="226" t="s">
        <v>340</v>
      </c>
      <c r="D35" s="49" t="str">
        <f>"+" &amp; MROUND(C35*0.97,0.01)</f>
        <v>+1.16</v>
      </c>
      <c r="E35" s="49" t="str">
        <f>"+" &amp; MROUND(C35*0.94,0.01)</f>
        <v>+1.13</v>
      </c>
      <c r="F35" s="224" t="s">
        <v>335</v>
      </c>
      <c r="G35" s="224" t="s">
        <v>341</v>
      </c>
      <c r="H35" s="224" t="s">
        <v>335</v>
      </c>
      <c r="I35" s="224" t="s">
        <v>341</v>
      </c>
      <c r="J35" s="78"/>
      <c r="K35" s="79" t="s">
        <v>337</v>
      </c>
      <c r="M35" s="17"/>
      <c r="N35" s="35"/>
      <c r="O35" s="35"/>
      <c r="P35" s="35"/>
      <c r="Q35" s="35"/>
      <c r="R35" s="18"/>
      <c r="S35" s="18"/>
    </row>
    <row r="36" spans="1:19" x14ac:dyDescent="0.15">
      <c r="A36" s="3"/>
      <c r="L36" s="4"/>
    </row>
    <row r="37" spans="1:19" s="1" customFormat="1" ht="12" x14ac:dyDescent="0.15">
      <c r="A37" s="3" t="s">
        <v>50</v>
      </c>
      <c r="C37" s="40"/>
      <c r="D37" s="40"/>
      <c r="E37" s="40"/>
      <c r="F37" s="40"/>
      <c r="G37" s="40"/>
    </row>
    <row r="38" spans="1:19" x14ac:dyDescent="0.15">
      <c r="A38" s="53">
        <v>1</v>
      </c>
      <c r="B38" s="53" t="s">
        <v>319</v>
      </c>
    </row>
    <row r="39" spans="1:19" x14ac:dyDescent="0.15">
      <c r="A39" s="53">
        <v>2</v>
      </c>
      <c r="B39" s="53" t="s">
        <v>320</v>
      </c>
    </row>
    <row r="40" spans="1:19" x14ac:dyDescent="0.15">
      <c r="A40" s="53">
        <v>3</v>
      </c>
      <c r="B40" s="53" t="s">
        <v>273</v>
      </c>
    </row>
    <row r="41" spans="1:19" x14ac:dyDescent="0.15">
      <c r="A41" s="53">
        <v>4</v>
      </c>
      <c r="B41" s="53" t="s">
        <v>271</v>
      </c>
    </row>
    <row r="42" spans="1:19" x14ac:dyDescent="0.15">
      <c r="A42" s="53">
        <v>5</v>
      </c>
      <c r="B42" s="53" t="s">
        <v>322</v>
      </c>
    </row>
    <row r="43" spans="1:19" x14ac:dyDescent="0.15">
      <c r="A43" s="53">
        <v>6</v>
      </c>
      <c r="B43" s="53" t="s">
        <v>323</v>
      </c>
    </row>
    <row r="44" spans="1:19" x14ac:dyDescent="0.15">
      <c r="A44" s="53">
        <v>7</v>
      </c>
      <c r="B44" s="53" t="s">
        <v>274</v>
      </c>
    </row>
    <row r="45" spans="1:19" x14ac:dyDescent="0.15">
      <c r="A45" s="53">
        <v>8</v>
      </c>
      <c r="B45" s="53" t="s">
        <v>324</v>
      </c>
    </row>
    <row r="46" spans="1:19" x14ac:dyDescent="0.15">
      <c r="A46" s="3" t="s">
        <v>59</v>
      </c>
    </row>
    <row r="47" spans="1:19" x14ac:dyDescent="0.15">
      <c r="A47" s="52" t="s">
        <v>13</v>
      </c>
      <c r="B47" s="53" t="s">
        <v>342</v>
      </c>
      <c r="C47" s="53"/>
      <c r="D47" s="53"/>
      <c r="E47" s="53"/>
      <c r="F47" s="53"/>
      <c r="G47" s="53"/>
      <c r="H47" s="53"/>
      <c r="I47" s="53"/>
      <c r="J47" s="53"/>
      <c r="K47" s="53"/>
    </row>
    <row r="48" spans="1:19" ht="28.5" customHeight="1" x14ac:dyDescent="0.15">
      <c r="A48" s="52" t="s">
        <v>61</v>
      </c>
      <c r="B48" s="255" t="s">
        <v>326</v>
      </c>
      <c r="C48" s="255"/>
      <c r="D48" s="255"/>
      <c r="E48" s="255"/>
      <c r="F48" s="255"/>
      <c r="G48" s="255"/>
      <c r="H48" s="255"/>
      <c r="I48" s="255"/>
      <c r="J48" s="53"/>
      <c r="K48" s="53"/>
    </row>
    <row r="49" spans="1:11" x14ac:dyDescent="0.15">
      <c r="A49" s="52" t="s">
        <v>32</v>
      </c>
      <c r="B49" s="255" t="s">
        <v>327</v>
      </c>
      <c r="C49" s="255"/>
      <c r="D49" s="255"/>
      <c r="E49" s="255"/>
      <c r="F49" s="255"/>
      <c r="G49" s="255"/>
      <c r="H49" s="255"/>
      <c r="I49" s="255"/>
      <c r="J49" s="255"/>
      <c r="K49" s="255"/>
    </row>
    <row r="50" spans="1:11" x14ac:dyDescent="0.15">
      <c r="A50" s="52" t="s">
        <v>64</v>
      </c>
      <c r="B50" s="53" t="s">
        <v>328</v>
      </c>
      <c r="C50" s="53"/>
      <c r="D50" s="53"/>
      <c r="E50" s="53"/>
      <c r="F50" s="53"/>
      <c r="G50" s="53"/>
      <c r="H50" s="53"/>
      <c r="I50" s="53"/>
      <c r="J50" s="53"/>
      <c r="K50" s="53"/>
    </row>
    <row r="51" spans="1:11" x14ac:dyDescent="0.15">
      <c r="A51" s="52" t="s">
        <v>66</v>
      </c>
      <c r="B51" s="53" t="s">
        <v>329</v>
      </c>
      <c r="C51" s="53"/>
      <c r="D51" s="53"/>
      <c r="E51" s="53"/>
      <c r="F51" s="53"/>
      <c r="G51" s="53"/>
      <c r="H51" s="53"/>
      <c r="I51" s="53"/>
      <c r="J51" s="53"/>
      <c r="K51" s="53"/>
    </row>
    <row r="52" spans="1:11" ht="13.5" customHeight="1" x14ac:dyDescent="0.15">
      <c r="A52" s="52"/>
      <c r="B52" s="53"/>
      <c r="C52" s="53"/>
      <c r="D52" s="53"/>
      <c r="E52" s="53"/>
      <c r="F52" s="53"/>
      <c r="G52" s="53"/>
      <c r="H52" s="53"/>
      <c r="I52" s="53"/>
      <c r="J52" s="53"/>
      <c r="K52" s="53"/>
    </row>
    <row r="53" spans="1:11" x14ac:dyDescent="0.15">
      <c r="A53" s="41"/>
      <c r="C53" s="65"/>
      <c r="D53" s="65"/>
      <c r="E53" s="65"/>
      <c r="F53" s="65"/>
      <c r="G53" s="65"/>
      <c r="H53" s="65"/>
      <c r="I53" s="65"/>
      <c r="J53" s="65"/>
      <c r="K53" s="65"/>
    </row>
    <row r="54" spans="1:11" x14ac:dyDescent="0.15">
      <c r="A54" s="41"/>
      <c r="C54" s="53"/>
      <c r="D54" s="53"/>
      <c r="E54" s="53"/>
      <c r="F54" s="53"/>
      <c r="G54" s="53"/>
      <c r="H54" s="53"/>
      <c r="I54" s="53"/>
      <c r="J54" s="53"/>
      <c r="K54" s="53"/>
    </row>
    <row r="55" spans="1:11" x14ac:dyDescent="0.15">
      <c r="C55" s="53"/>
      <c r="D55" s="53"/>
      <c r="E55" s="53"/>
      <c r="F55" s="53"/>
      <c r="G55" s="53"/>
      <c r="H55" s="53"/>
      <c r="I55" s="53"/>
      <c r="J55" s="53"/>
      <c r="K55" s="53"/>
    </row>
    <row r="56" spans="1:11" x14ac:dyDescent="0.15">
      <c r="C56" s="53"/>
      <c r="D56" s="53"/>
      <c r="E56" s="53"/>
      <c r="F56" s="53"/>
      <c r="G56" s="53"/>
      <c r="H56" s="53"/>
      <c r="I56" s="53"/>
      <c r="J56" s="53"/>
      <c r="K56" s="53"/>
    </row>
  </sheetData>
  <mergeCells count="10">
    <mergeCell ref="M24:S24"/>
    <mergeCell ref="M29:S29"/>
    <mergeCell ref="B48:I48"/>
    <mergeCell ref="B49:K49"/>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04DE5-F590-4B9F-91E0-F7A40C392E74}">
  <sheetPr>
    <tabColor theme="8" tint="0.39997558519241921"/>
  </sheetPr>
  <dimension ref="A1:S67"/>
  <sheetViews>
    <sheetView zoomScale="85" zoomScaleNormal="85" workbookViewId="0">
      <selection activeCell="P42" sqref="P42"/>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343</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197">
        <v>-65</v>
      </c>
      <c r="D6" s="197">
        <v>-65</v>
      </c>
      <c r="E6" s="197">
        <v>-65</v>
      </c>
      <c r="F6" s="47"/>
      <c r="G6" s="47"/>
      <c r="H6" s="47"/>
      <c r="I6" s="47"/>
      <c r="J6" s="15" t="s">
        <v>13</v>
      </c>
      <c r="K6" s="50">
        <v>1</v>
      </c>
      <c r="M6" s="17"/>
      <c r="N6" s="253"/>
      <c r="O6" s="254"/>
      <c r="P6" s="254"/>
      <c r="Q6" s="254"/>
      <c r="R6" s="254"/>
      <c r="S6" s="254"/>
    </row>
    <row r="7" spans="2:19" ht="22.5" customHeight="1" x14ac:dyDescent="0.15">
      <c r="B7" s="13" t="s">
        <v>11</v>
      </c>
      <c r="C7" s="197">
        <v>-65</v>
      </c>
      <c r="D7" s="197">
        <v>-65</v>
      </c>
      <c r="E7" s="197">
        <v>-65</v>
      </c>
      <c r="F7" s="47"/>
      <c r="G7" s="47"/>
      <c r="H7" s="47"/>
      <c r="I7" s="47"/>
      <c r="J7" s="15" t="s">
        <v>13</v>
      </c>
      <c r="K7" s="50">
        <v>1</v>
      </c>
      <c r="M7" s="17"/>
      <c r="N7" s="60"/>
      <c r="O7" s="61"/>
      <c r="P7" s="61"/>
      <c r="Q7" s="61"/>
      <c r="R7" s="61"/>
      <c r="S7" s="61"/>
    </row>
    <row r="8" spans="2:19" x14ac:dyDescent="0.15">
      <c r="B8" s="13" t="s">
        <v>12</v>
      </c>
      <c r="C8" s="197">
        <v>-7</v>
      </c>
      <c r="D8" s="197">
        <v>-7</v>
      </c>
      <c r="E8" s="197">
        <v>-7</v>
      </c>
      <c r="F8" s="48"/>
      <c r="G8" s="48"/>
      <c r="H8" s="47"/>
      <c r="I8" s="47"/>
      <c r="J8" s="15"/>
      <c r="K8" s="46">
        <v>1</v>
      </c>
      <c r="M8" s="17"/>
      <c r="N8" s="18"/>
      <c r="O8" s="18"/>
      <c r="P8" s="18"/>
      <c r="Q8" s="18"/>
      <c r="R8" s="18"/>
      <c r="S8" s="18"/>
    </row>
    <row r="9" spans="2:19" x14ac:dyDescent="0.15">
      <c r="B9" s="19" t="s">
        <v>14</v>
      </c>
      <c r="C9" s="197">
        <v>-8</v>
      </c>
      <c r="D9" s="197">
        <v>-8</v>
      </c>
      <c r="E9" s="197">
        <v>-8</v>
      </c>
      <c r="F9" s="48"/>
      <c r="G9" s="48"/>
      <c r="H9" s="47"/>
      <c r="I9" s="47"/>
      <c r="J9" s="20"/>
      <c r="K9" s="66">
        <v>1</v>
      </c>
      <c r="M9" s="17"/>
      <c r="N9" s="18"/>
      <c r="O9" s="18"/>
      <c r="P9" s="18"/>
      <c r="Q9" s="18"/>
      <c r="R9" s="18"/>
      <c r="S9" s="18"/>
    </row>
    <row r="10" spans="2:19" x14ac:dyDescent="0.15">
      <c r="B10" s="13" t="s">
        <v>252</v>
      </c>
      <c r="C10" s="197"/>
      <c r="D10" s="47"/>
      <c r="E10" s="47"/>
      <c r="F10" s="184"/>
      <c r="G10" s="184"/>
      <c r="H10" s="47"/>
      <c r="I10" s="47"/>
      <c r="J10" s="15"/>
      <c r="K10" s="50"/>
      <c r="M10" s="17"/>
      <c r="N10" s="18"/>
      <c r="O10" s="18"/>
      <c r="P10" s="18"/>
      <c r="Q10" s="18"/>
      <c r="R10" s="18"/>
      <c r="S10" s="18"/>
    </row>
    <row r="11" spans="2:19" x14ac:dyDescent="0.15">
      <c r="B11" s="13" t="s">
        <v>15</v>
      </c>
      <c r="C11" s="197">
        <v>6</v>
      </c>
      <c r="D11" s="197">
        <v>6</v>
      </c>
      <c r="E11" s="197">
        <v>6</v>
      </c>
      <c r="F11" s="47"/>
      <c r="G11" s="47"/>
      <c r="H11" s="47"/>
      <c r="I11" s="47"/>
      <c r="J11" s="15"/>
      <c r="K11" s="50"/>
      <c r="M11" s="1"/>
      <c r="N11" s="21"/>
      <c r="O11" s="21"/>
      <c r="P11" s="21"/>
      <c r="Q11" s="21"/>
      <c r="R11" s="21"/>
      <c r="S11" s="18"/>
    </row>
    <row r="12" spans="2:19" x14ac:dyDescent="0.15">
      <c r="B12" s="22" t="s">
        <v>16</v>
      </c>
      <c r="C12" s="197"/>
      <c r="D12" s="48"/>
      <c r="E12" s="48"/>
      <c r="F12" s="47"/>
      <c r="G12" s="47"/>
      <c r="H12" s="47"/>
      <c r="I12" s="47"/>
      <c r="J12" s="15"/>
      <c r="K12" s="50"/>
      <c r="M12" s="1"/>
      <c r="N12" s="21"/>
      <c r="O12" s="21"/>
      <c r="P12" s="21"/>
      <c r="Q12" s="21"/>
      <c r="R12" s="21"/>
      <c r="S12" s="18"/>
    </row>
    <row r="13" spans="2:19" x14ac:dyDescent="0.15">
      <c r="B13" s="22" t="s">
        <v>17</v>
      </c>
      <c r="C13" s="197" t="s">
        <v>31</v>
      </c>
      <c r="D13" s="48"/>
      <c r="E13" s="48"/>
      <c r="F13" s="47"/>
      <c r="G13" s="47"/>
      <c r="H13" s="15"/>
      <c r="I13" s="47"/>
      <c r="J13" s="15"/>
      <c r="K13" s="50"/>
      <c r="M13" s="17"/>
      <c r="N13" s="18"/>
      <c r="O13" s="18"/>
      <c r="P13" s="18"/>
      <c r="Q13" s="18"/>
      <c r="R13" s="18"/>
      <c r="S13" s="18"/>
    </row>
    <row r="14" spans="2:19" x14ac:dyDescent="0.15">
      <c r="B14" s="22" t="s">
        <v>18</v>
      </c>
      <c r="C14" s="197"/>
      <c r="D14" s="48"/>
      <c r="E14" s="48"/>
      <c r="F14" s="15"/>
      <c r="G14" s="15"/>
      <c r="I14" s="227"/>
      <c r="J14" s="227"/>
      <c r="K14" s="46"/>
      <c r="M14" s="17"/>
      <c r="N14" s="18"/>
      <c r="O14" s="18"/>
      <c r="P14" s="18"/>
      <c r="Q14" s="18"/>
      <c r="R14" s="18"/>
      <c r="S14" s="18"/>
    </row>
    <row r="15" spans="2:19" x14ac:dyDescent="0.15">
      <c r="B15" s="146" t="s">
        <v>307</v>
      </c>
      <c r="C15" s="197">
        <v>-86.32</v>
      </c>
      <c r="D15" s="197">
        <v>-90</v>
      </c>
      <c r="E15" s="197">
        <v>-90</v>
      </c>
      <c r="F15" s="15"/>
      <c r="G15" s="15"/>
      <c r="H15" s="202" t="s">
        <v>331</v>
      </c>
      <c r="I15" s="47">
        <v>-99</v>
      </c>
      <c r="J15" s="15" t="s">
        <v>61</v>
      </c>
      <c r="K15" s="50">
        <v>1</v>
      </c>
      <c r="M15" s="17"/>
      <c r="N15" s="18"/>
      <c r="O15" s="18"/>
      <c r="P15" s="18"/>
      <c r="Q15" s="18"/>
      <c r="R15" s="18"/>
      <c r="S15" s="18"/>
    </row>
    <row r="16" spans="2:19" x14ac:dyDescent="0.15">
      <c r="B16" s="23" t="s">
        <v>20</v>
      </c>
      <c r="C16" s="203" t="s">
        <v>253</v>
      </c>
      <c r="D16" s="46" t="s">
        <v>253</v>
      </c>
      <c r="E16" s="46" t="s">
        <v>253</v>
      </c>
      <c r="F16" s="46" t="s">
        <v>253</v>
      </c>
      <c r="G16" s="46" t="s">
        <v>253</v>
      </c>
      <c r="H16" s="46" t="s">
        <v>253</v>
      </c>
      <c r="I16" s="46" t="s">
        <v>253</v>
      </c>
      <c r="J16" s="16"/>
      <c r="K16" s="15"/>
      <c r="M16" s="17"/>
      <c r="N16" s="18"/>
      <c r="O16" s="18"/>
      <c r="P16" s="18"/>
      <c r="Q16" s="18"/>
      <c r="R16" s="18"/>
      <c r="S16" s="18"/>
    </row>
    <row r="17" spans="2:19" x14ac:dyDescent="0.15">
      <c r="B17" s="42" t="s">
        <v>21</v>
      </c>
      <c r="C17" s="204"/>
      <c r="D17" s="43"/>
      <c r="E17" s="43"/>
      <c r="F17" s="43"/>
      <c r="G17" s="43"/>
      <c r="H17" s="43"/>
      <c r="I17" s="44"/>
      <c r="J17" s="44"/>
      <c r="K17" s="45"/>
      <c r="M17" s="17"/>
      <c r="N17" s="18"/>
      <c r="O17" s="18"/>
      <c r="P17" s="18"/>
      <c r="Q17" s="18"/>
      <c r="R17" s="18"/>
      <c r="S17" s="18"/>
    </row>
    <row r="18" spans="2:19" x14ac:dyDescent="0.15">
      <c r="B18" s="23" t="s">
        <v>22</v>
      </c>
      <c r="C18" s="203" t="s">
        <v>253</v>
      </c>
      <c r="D18" s="46" t="s">
        <v>31</v>
      </c>
      <c r="E18" s="46" t="s">
        <v>31</v>
      </c>
      <c r="F18" s="46" t="s">
        <v>31</v>
      </c>
      <c r="G18" s="46" t="s">
        <v>31</v>
      </c>
      <c r="H18" s="46" t="s">
        <v>31</v>
      </c>
      <c r="I18" s="46" t="s">
        <v>31</v>
      </c>
      <c r="J18" s="16"/>
      <c r="K18" s="15"/>
      <c r="M18" s="17"/>
      <c r="N18" s="18"/>
      <c r="O18" s="18"/>
      <c r="P18" s="18"/>
      <c r="Q18" s="18"/>
      <c r="R18" s="18"/>
      <c r="S18" s="18"/>
    </row>
    <row r="19" spans="2:19" x14ac:dyDescent="0.15">
      <c r="B19" s="23" t="s">
        <v>23</v>
      </c>
      <c r="C19" s="203" t="s">
        <v>253</v>
      </c>
      <c r="D19" s="46" t="s">
        <v>31</v>
      </c>
      <c r="E19" s="46" t="s">
        <v>31</v>
      </c>
      <c r="F19" s="46" t="s">
        <v>31</v>
      </c>
      <c r="G19" s="46" t="s">
        <v>31</v>
      </c>
      <c r="H19" s="46" t="s">
        <v>31</v>
      </c>
      <c r="I19" s="46" t="s">
        <v>31</v>
      </c>
      <c r="J19" s="16"/>
      <c r="K19" s="15"/>
      <c r="M19" s="17"/>
      <c r="N19" s="18"/>
      <c r="O19" s="18"/>
      <c r="P19" s="18"/>
      <c r="Q19" s="18"/>
      <c r="R19" s="18"/>
      <c r="S19" s="18"/>
    </row>
    <row r="20" spans="2:19" x14ac:dyDescent="0.15">
      <c r="B20" s="24" t="s">
        <v>254</v>
      </c>
      <c r="C20" s="205"/>
      <c r="D20" s="25"/>
      <c r="E20" s="25"/>
      <c r="F20" s="25"/>
      <c r="G20" s="25"/>
      <c r="H20" s="25"/>
      <c r="I20" s="26"/>
      <c r="J20" s="26"/>
      <c r="K20" s="27"/>
      <c r="M20" s="17"/>
      <c r="N20" s="18"/>
      <c r="O20" s="18"/>
      <c r="P20" s="18"/>
      <c r="Q20" s="18"/>
      <c r="R20" s="18"/>
      <c r="S20" s="18"/>
    </row>
    <row r="21" spans="2:19" x14ac:dyDescent="0.15">
      <c r="B21" s="22" t="s">
        <v>25</v>
      </c>
      <c r="C21" s="47">
        <v>3</v>
      </c>
      <c r="D21" s="47">
        <v>3</v>
      </c>
      <c r="E21" s="47">
        <v>3</v>
      </c>
      <c r="F21" s="15"/>
      <c r="G21" s="15"/>
      <c r="H21" s="15"/>
      <c r="I21" s="15"/>
      <c r="J21" s="16" t="s">
        <v>32</v>
      </c>
      <c r="K21" s="50">
        <v>6</v>
      </c>
      <c r="L21" s="3"/>
      <c r="M21" s="17"/>
      <c r="N21" s="18"/>
      <c r="O21" s="18"/>
      <c r="P21" s="18"/>
      <c r="Q21" s="18"/>
      <c r="R21" s="18"/>
      <c r="S21" s="18"/>
    </row>
    <row r="22" spans="2:19" x14ac:dyDescent="0.15">
      <c r="B22" s="22" t="s">
        <v>26</v>
      </c>
      <c r="C22" s="47">
        <v>50</v>
      </c>
      <c r="D22" s="47">
        <v>50</v>
      </c>
      <c r="E22" s="47">
        <v>50</v>
      </c>
      <c r="F22" s="15"/>
      <c r="G22" s="15"/>
      <c r="H22" s="15"/>
      <c r="I22" s="15"/>
      <c r="J22" s="16" t="s">
        <v>64</v>
      </c>
      <c r="K22" s="50">
        <v>6</v>
      </c>
      <c r="M22" s="17"/>
      <c r="N22" s="18"/>
      <c r="O22" s="18"/>
      <c r="P22" s="18"/>
      <c r="Q22" s="18"/>
      <c r="R22" s="18"/>
      <c r="S22" s="18"/>
    </row>
    <row r="23" spans="2:19" x14ac:dyDescent="0.15">
      <c r="B23" s="22" t="s">
        <v>27</v>
      </c>
      <c r="C23" s="47">
        <v>6</v>
      </c>
      <c r="D23" s="47">
        <v>6</v>
      </c>
      <c r="E23" s="47">
        <v>6</v>
      </c>
      <c r="F23" s="15"/>
      <c r="G23" s="15"/>
      <c r="H23" s="15"/>
      <c r="I23" s="15"/>
      <c r="J23" s="16"/>
      <c r="K23" s="50">
        <v>4</v>
      </c>
      <c r="M23" s="17"/>
      <c r="N23" s="18"/>
      <c r="O23" s="18"/>
      <c r="P23" s="18"/>
      <c r="Q23" s="18"/>
      <c r="R23" s="18"/>
      <c r="S23" s="18"/>
    </row>
    <row r="24" spans="2:19" x14ac:dyDescent="0.15">
      <c r="B24" s="22" t="s">
        <v>28</v>
      </c>
      <c r="C24" s="14" t="s">
        <v>256</v>
      </c>
      <c r="D24" s="14" t="s">
        <v>256</v>
      </c>
      <c r="E24" s="14" t="s">
        <v>256</v>
      </c>
      <c r="F24" s="15"/>
      <c r="G24" s="15"/>
      <c r="H24" s="15"/>
      <c r="I24" s="15"/>
      <c r="J24" s="16"/>
      <c r="K24" s="16" t="s">
        <v>344</v>
      </c>
      <c r="M24" s="17"/>
      <c r="N24" s="18"/>
      <c r="O24" s="18"/>
      <c r="P24" s="18"/>
      <c r="Q24" s="18"/>
      <c r="R24" s="18"/>
      <c r="S24" s="18"/>
    </row>
    <row r="25" spans="2:19" x14ac:dyDescent="0.15">
      <c r="B25" s="24" t="s">
        <v>29</v>
      </c>
      <c r="C25" s="207"/>
      <c r="D25" s="28"/>
      <c r="E25" s="28"/>
      <c r="F25" s="28"/>
      <c r="G25" s="28"/>
      <c r="H25" s="28"/>
      <c r="I25" s="28"/>
      <c r="J25" s="28"/>
      <c r="K25" s="29"/>
      <c r="M25" s="261"/>
      <c r="N25" s="261"/>
      <c r="O25" s="261"/>
      <c r="P25" s="261"/>
      <c r="Q25" s="261"/>
      <c r="R25" s="261"/>
      <c r="S25" s="261"/>
    </row>
    <row r="26" spans="2:19" x14ac:dyDescent="0.15">
      <c r="B26" s="22" t="s">
        <v>257</v>
      </c>
      <c r="C26" s="31">
        <v>115</v>
      </c>
      <c r="D26" s="31">
        <v>115</v>
      </c>
      <c r="E26" s="31">
        <v>115</v>
      </c>
      <c r="G26" s="31"/>
      <c r="H26" s="31"/>
      <c r="I26" s="31"/>
      <c r="J26" s="30"/>
      <c r="K26" s="50" t="s">
        <v>332</v>
      </c>
      <c r="M26" s="17"/>
      <c r="N26" s="18"/>
      <c r="O26" s="18"/>
      <c r="P26" s="18"/>
      <c r="Q26" s="18"/>
      <c r="R26" s="18"/>
      <c r="S26" s="18"/>
    </row>
    <row r="27" spans="2:19" x14ac:dyDescent="0.15">
      <c r="B27" s="22" t="s">
        <v>33</v>
      </c>
      <c r="C27" s="31">
        <v>99</v>
      </c>
      <c r="D27" s="31">
        <v>99</v>
      </c>
      <c r="E27" s="31">
        <v>99</v>
      </c>
      <c r="F27" s="31"/>
      <c r="G27" s="31"/>
      <c r="H27" s="31"/>
      <c r="I27" s="31"/>
      <c r="J27" s="30"/>
      <c r="K27" s="50" t="s">
        <v>332</v>
      </c>
      <c r="M27" s="17"/>
      <c r="N27" s="18"/>
      <c r="O27" s="18"/>
      <c r="P27" s="18"/>
      <c r="Q27" s="18"/>
      <c r="R27" s="18"/>
      <c r="S27" s="18"/>
    </row>
    <row r="28" spans="2:19" ht="15" customHeight="1" x14ac:dyDescent="0.15">
      <c r="B28" s="22" t="s">
        <v>34</v>
      </c>
      <c r="C28" s="31">
        <v>173</v>
      </c>
      <c r="D28" s="31">
        <v>173</v>
      </c>
      <c r="E28" s="31">
        <v>173</v>
      </c>
      <c r="F28" s="31"/>
      <c r="G28" s="31"/>
      <c r="H28" s="31"/>
      <c r="I28" s="31"/>
      <c r="J28" s="32"/>
      <c r="K28" s="50" t="s">
        <v>332</v>
      </c>
      <c r="M28" s="17"/>
      <c r="N28" s="18"/>
      <c r="O28" s="18"/>
      <c r="P28" s="18"/>
      <c r="Q28" s="18"/>
      <c r="R28" s="18"/>
      <c r="S28" s="18"/>
    </row>
    <row r="29" spans="2:19" x14ac:dyDescent="0.15">
      <c r="B29" s="22" t="s">
        <v>260</v>
      </c>
      <c r="C29" s="64"/>
      <c r="D29" s="31"/>
      <c r="E29" s="31"/>
      <c r="F29" s="31"/>
      <c r="G29" s="31"/>
      <c r="H29" s="31"/>
      <c r="I29" s="31"/>
      <c r="J29" s="16"/>
      <c r="K29" s="16"/>
      <c r="M29" s="17"/>
      <c r="N29" s="33"/>
      <c r="O29" s="33"/>
      <c r="P29" s="33"/>
      <c r="Q29" s="33"/>
      <c r="R29" s="18"/>
      <c r="S29" s="18"/>
    </row>
    <row r="30" spans="2:19" x14ac:dyDescent="0.15">
      <c r="B30" s="24" t="s">
        <v>37</v>
      </c>
      <c r="C30" s="207"/>
      <c r="D30" s="28"/>
      <c r="E30" s="28"/>
      <c r="F30" s="28"/>
      <c r="G30" s="28"/>
      <c r="H30" s="28"/>
      <c r="I30" s="28"/>
      <c r="J30" s="28"/>
      <c r="K30" s="29"/>
      <c r="M30" s="17"/>
      <c r="N30" s="18"/>
      <c r="O30" s="18"/>
      <c r="P30" s="18"/>
      <c r="Q30" s="18"/>
      <c r="R30" s="18"/>
      <c r="S30" s="18"/>
    </row>
    <row r="31" spans="2:19" x14ac:dyDescent="0.15">
      <c r="B31" s="22" t="s">
        <v>38</v>
      </c>
      <c r="C31" s="228">
        <v>0.95</v>
      </c>
      <c r="D31" s="49" t="str">
        <f>"+" &amp; MROUND(C31*0.92,0.01)</f>
        <v>+0.87</v>
      </c>
      <c r="E31" s="47" t="str">
        <f>"+" &amp; MROUND(C31*0.73,0.01)</f>
        <v>+0.69</v>
      </c>
      <c r="F31" s="51" t="str">
        <f>"+" &amp; C31*0.5</f>
        <v>+0.475</v>
      </c>
      <c r="G31" s="51" t="str">
        <f>"+" &amp; MROUND(C31*1.25,0.01)</f>
        <v>+1.19</v>
      </c>
      <c r="H31" s="51" t="str">
        <f>"+" &amp; MROUND(E31*0.5,0.01)</f>
        <v>+0.35</v>
      </c>
      <c r="I31" s="51" t="str">
        <f>"+" &amp; MROUND(E31*1.25,0.01)</f>
        <v>+0.86</v>
      </c>
      <c r="J31" s="16" t="s">
        <v>66</v>
      </c>
      <c r="K31" s="50" t="s">
        <v>345</v>
      </c>
      <c r="M31" s="17"/>
      <c r="N31" s="35"/>
      <c r="O31" s="35"/>
      <c r="P31" s="35"/>
      <c r="Q31" s="35"/>
      <c r="R31" s="18"/>
      <c r="S31" s="18"/>
    </row>
    <row r="32" spans="2:19" x14ac:dyDescent="0.15">
      <c r="B32" s="22" t="s">
        <v>117</v>
      </c>
      <c r="C32" s="31">
        <v>25</v>
      </c>
      <c r="D32" s="31">
        <v>25</v>
      </c>
      <c r="E32" s="31">
        <v>25</v>
      </c>
      <c r="F32" s="36">
        <v>20</v>
      </c>
      <c r="G32" s="36">
        <v>40</v>
      </c>
      <c r="H32" s="36">
        <v>20</v>
      </c>
      <c r="I32" s="36">
        <v>40</v>
      </c>
      <c r="J32" s="16"/>
      <c r="K32" s="16">
        <v>1</v>
      </c>
      <c r="M32" s="17"/>
      <c r="N32" s="35"/>
      <c r="O32" s="35"/>
      <c r="P32" s="35"/>
      <c r="Q32" s="35"/>
      <c r="R32" s="18"/>
      <c r="S32" s="18"/>
    </row>
    <row r="33" spans="1:19" x14ac:dyDescent="0.15">
      <c r="B33" s="22" t="s">
        <v>118</v>
      </c>
      <c r="C33" s="31">
        <v>75</v>
      </c>
      <c r="D33" s="31">
        <v>75</v>
      </c>
      <c r="E33" s="31">
        <v>75</v>
      </c>
      <c r="F33" s="36">
        <v>60</v>
      </c>
      <c r="G33" s="36">
        <v>80</v>
      </c>
      <c r="H33" s="36">
        <v>60</v>
      </c>
      <c r="I33" s="36">
        <v>80</v>
      </c>
      <c r="J33" s="16"/>
      <c r="K33" s="16">
        <v>1</v>
      </c>
      <c r="M33" s="17"/>
      <c r="N33" s="35"/>
      <c r="O33" s="35"/>
      <c r="P33" s="35"/>
      <c r="Q33" s="35"/>
      <c r="R33" s="18"/>
      <c r="S33" s="18"/>
    </row>
    <row r="34" spans="1:19" x14ac:dyDescent="0.15">
      <c r="B34" s="22" t="s">
        <v>42</v>
      </c>
      <c r="C34" s="229">
        <v>8900</v>
      </c>
      <c r="D34" s="82" t="str">
        <f>"+" &amp; MROUND(C34*0.97,100)</f>
        <v>+8600</v>
      </c>
      <c r="E34" s="82" t="str">
        <f>"+" &amp; MROUND(C34*0.94,100)</f>
        <v>+8400</v>
      </c>
      <c r="F34" s="137" t="str">
        <f>"+" &amp; MROUND(C34*0.8,100)</f>
        <v>+7100</v>
      </c>
      <c r="G34" s="219" t="s">
        <v>346</v>
      </c>
      <c r="H34" s="137" t="str">
        <f>"+" &amp; MROUND(E34*0.8,100)</f>
        <v>+6700</v>
      </c>
      <c r="I34" s="219" t="s">
        <v>346</v>
      </c>
      <c r="J34" s="16"/>
      <c r="K34" s="50" t="s">
        <v>69</v>
      </c>
      <c r="M34" s="17"/>
      <c r="N34" s="35"/>
      <c r="O34" s="35"/>
      <c r="P34" s="35"/>
      <c r="Q34" s="35"/>
      <c r="R34" s="18"/>
      <c r="S34" s="18"/>
    </row>
    <row r="35" spans="1:19" x14ac:dyDescent="0.15">
      <c r="B35" s="22" t="s">
        <v>45</v>
      </c>
      <c r="C35" s="230" t="s">
        <v>347</v>
      </c>
      <c r="D35" s="49" t="str">
        <f>"+" &amp; MROUND(C35*0.97,0.01)</f>
        <v>+5.14</v>
      </c>
      <c r="E35" s="49" t="str">
        <f>"+" &amp; MROUND(C35*0.94,0.01)</f>
        <v>+4.98</v>
      </c>
      <c r="F35" s="231" t="str">
        <f>"+" &amp; MROUND(C35*0.75,0.01)</f>
        <v>+3.97</v>
      </c>
      <c r="G35" s="51" t="str">
        <f>"+" &amp; MROUND(C35*1.25,0.01)</f>
        <v>+6.63</v>
      </c>
      <c r="H35" s="231" t="str">
        <f>"+" &amp; MROUND(E35*0.75,0.01)</f>
        <v>+3.74</v>
      </c>
      <c r="I35" s="51" t="str">
        <f>"+" &amp; MROUND(E35*1.25,0.01)</f>
        <v>+6.23</v>
      </c>
      <c r="J35" s="16"/>
      <c r="K35" s="50" t="s">
        <v>69</v>
      </c>
      <c r="M35" s="17"/>
      <c r="N35" s="35"/>
      <c r="O35" s="35"/>
      <c r="P35" s="35"/>
      <c r="Q35" s="35"/>
      <c r="R35" s="18"/>
      <c r="S35" s="18"/>
    </row>
    <row r="36" spans="1:19" x14ac:dyDescent="0.15">
      <c r="A36" s="3"/>
      <c r="L36" s="4"/>
    </row>
    <row r="37" spans="1:19" s="1" customFormat="1" ht="12" x14ac:dyDescent="0.15">
      <c r="A37" s="3" t="s">
        <v>50</v>
      </c>
      <c r="C37" s="40"/>
      <c r="D37" s="40"/>
      <c r="E37" s="40"/>
      <c r="F37" s="40"/>
      <c r="G37" s="40"/>
    </row>
    <row r="38" spans="1:19" x14ac:dyDescent="0.15">
      <c r="A38" s="53">
        <v>1</v>
      </c>
      <c r="B38" s="53" t="s">
        <v>319</v>
      </c>
    </row>
    <row r="39" spans="1:19" x14ac:dyDescent="0.15">
      <c r="A39" s="53">
        <v>2</v>
      </c>
      <c r="B39" s="53" t="s">
        <v>320</v>
      </c>
    </row>
    <row r="40" spans="1:19" x14ac:dyDescent="0.15">
      <c r="A40" s="53">
        <v>3</v>
      </c>
      <c r="B40" s="53" t="s">
        <v>273</v>
      </c>
    </row>
    <row r="41" spans="1:19" x14ac:dyDescent="0.15">
      <c r="A41" s="53">
        <v>4</v>
      </c>
      <c r="B41" s="53" t="s">
        <v>271</v>
      </c>
    </row>
    <row r="42" spans="1:19" s="1" customFormat="1" ht="29.25" customHeight="1" x14ac:dyDescent="0.15">
      <c r="A42" s="53">
        <v>5</v>
      </c>
      <c r="B42" s="255" t="s">
        <v>322</v>
      </c>
      <c r="C42" s="255"/>
      <c r="D42" s="255"/>
      <c r="E42" s="255"/>
      <c r="F42" s="255"/>
      <c r="G42" s="255"/>
      <c r="H42" s="255"/>
      <c r="I42" s="255"/>
      <c r="J42" s="255"/>
      <c r="K42" s="255"/>
      <c r="M42" s="4"/>
      <c r="N42" s="4"/>
      <c r="O42" s="4"/>
      <c r="P42" s="4"/>
      <c r="Q42" s="4"/>
      <c r="R42" s="4"/>
      <c r="S42" s="4"/>
    </row>
    <row r="43" spans="1:19" s="1" customFormat="1" x14ac:dyDescent="0.15">
      <c r="A43" s="53">
        <v>6</v>
      </c>
      <c r="B43" s="53" t="s">
        <v>323</v>
      </c>
      <c r="M43" s="4"/>
      <c r="N43" s="4"/>
      <c r="O43" s="4"/>
      <c r="P43" s="4"/>
      <c r="Q43" s="4"/>
      <c r="R43" s="4"/>
      <c r="S43" s="4"/>
    </row>
    <row r="44" spans="1:19" s="1" customFormat="1" x14ac:dyDescent="0.15">
      <c r="A44" s="53">
        <v>7</v>
      </c>
      <c r="B44" s="53" t="s">
        <v>348</v>
      </c>
      <c r="M44" s="4"/>
      <c r="N44" s="4"/>
      <c r="O44" s="4"/>
      <c r="P44" s="4"/>
      <c r="Q44" s="4"/>
      <c r="R44" s="4"/>
      <c r="S44" s="4"/>
    </row>
    <row r="45" spans="1:19" s="1" customFormat="1" x14ac:dyDescent="0.15">
      <c r="A45" s="53">
        <v>8</v>
      </c>
      <c r="B45" s="53" t="s">
        <v>274</v>
      </c>
      <c r="M45" s="4"/>
      <c r="N45" s="4"/>
      <c r="O45" s="4"/>
      <c r="P45" s="4"/>
      <c r="Q45" s="4"/>
      <c r="R45" s="4"/>
      <c r="S45" s="4"/>
    </row>
    <row r="46" spans="1:19" s="1" customFormat="1" x14ac:dyDescent="0.15">
      <c r="A46" s="53">
        <v>9</v>
      </c>
      <c r="B46" s="53" t="s">
        <v>324</v>
      </c>
      <c r="M46" s="4"/>
      <c r="N46" s="4"/>
      <c r="O46" s="4"/>
      <c r="P46" s="4"/>
      <c r="Q46" s="4"/>
      <c r="R46" s="4"/>
      <c r="S46" s="4"/>
    </row>
    <row r="47" spans="1:19" x14ac:dyDescent="0.15">
      <c r="A47" s="3" t="s">
        <v>59</v>
      </c>
      <c r="L47" s="4"/>
    </row>
    <row r="48" spans="1:19" x14ac:dyDescent="0.15">
      <c r="A48" s="52" t="s">
        <v>13</v>
      </c>
      <c r="B48" s="53" t="s">
        <v>342</v>
      </c>
      <c r="C48" s="53"/>
      <c r="D48" s="53"/>
      <c r="E48" s="53"/>
      <c r="F48" s="53"/>
      <c r="G48" s="53"/>
      <c r="H48" s="53"/>
      <c r="I48" s="53"/>
      <c r="J48" s="53"/>
      <c r="K48" s="53"/>
      <c r="L48" s="4"/>
    </row>
    <row r="49" spans="1:19" ht="27.75" customHeight="1" x14ac:dyDescent="0.15">
      <c r="A49" s="52" t="s">
        <v>61</v>
      </c>
      <c r="B49" s="255" t="s">
        <v>326</v>
      </c>
      <c r="C49" s="255"/>
      <c r="D49" s="255"/>
      <c r="E49" s="255"/>
      <c r="F49" s="255"/>
      <c r="G49" s="255"/>
      <c r="H49" s="255"/>
      <c r="I49" s="255"/>
      <c r="J49" s="53"/>
      <c r="K49" s="53"/>
      <c r="L49" s="4"/>
    </row>
    <row r="50" spans="1:19" s="1" customFormat="1" x14ac:dyDescent="0.15">
      <c r="A50" s="52" t="s">
        <v>32</v>
      </c>
      <c r="B50" s="255" t="s">
        <v>327</v>
      </c>
      <c r="C50" s="255"/>
      <c r="D50" s="255"/>
      <c r="E50" s="255"/>
      <c r="F50" s="255"/>
      <c r="G50" s="255"/>
      <c r="H50" s="255"/>
      <c r="I50" s="255"/>
      <c r="J50" s="255"/>
      <c r="K50" s="255"/>
      <c r="M50" s="4"/>
      <c r="N50" s="4"/>
      <c r="O50" s="4"/>
      <c r="P50" s="4"/>
      <c r="Q50" s="4"/>
      <c r="R50" s="4"/>
      <c r="S50" s="4"/>
    </row>
    <row r="51" spans="1:19" s="1" customFormat="1" x14ac:dyDescent="0.15">
      <c r="A51" s="52" t="s">
        <v>64</v>
      </c>
      <c r="B51" s="53" t="s">
        <v>328</v>
      </c>
      <c r="C51" s="53"/>
      <c r="D51" s="53"/>
      <c r="E51" s="53"/>
      <c r="F51" s="53"/>
      <c r="G51" s="53"/>
      <c r="H51" s="53"/>
      <c r="I51" s="53"/>
      <c r="J51" s="53"/>
      <c r="K51" s="53"/>
      <c r="M51" s="4"/>
      <c r="N51" s="4"/>
      <c r="O51" s="4"/>
      <c r="P51" s="4"/>
      <c r="Q51" s="4"/>
      <c r="R51" s="4"/>
      <c r="S51" s="4"/>
    </row>
    <row r="52" spans="1:19" s="1" customFormat="1" x14ac:dyDescent="0.15">
      <c r="A52" s="52" t="s">
        <v>66</v>
      </c>
      <c r="B52" s="53" t="s">
        <v>349</v>
      </c>
      <c r="C52" s="53"/>
      <c r="D52" s="53"/>
      <c r="E52" s="53"/>
      <c r="F52" s="53"/>
      <c r="G52" s="53"/>
      <c r="H52" s="53"/>
      <c r="I52" s="53"/>
      <c r="J52" s="53"/>
      <c r="K52" s="53"/>
      <c r="M52" s="4"/>
      <c r="N52" s="4"/>
      <c r="O52" s="4"/>
      <c r="P52" s="4"/>
      <c r="Q52" s="4"/>
      <c r="R52" s="4"/>
      <c r="S52" s="4"/>
    </row>
    <row r="53" spans="1:19" s="1" customFormat="1" x14ac:dyDescent="0.15">
      <c r="A53" s="52"/>
      <c r="B53" s="255"/>
      <c r="C53" s="255"/>
      <c r="D53" s="255"/>
      <c r="E53" s="255"/>
      <c r="F53" s="255"/>
      <c r="G53" s="255"/>
      <c r="H53" s="255"/>
      <c r="I53" s="255"/>
      <c r="J53" s="255"/>
      <c r="K53" s="255"/>
      <c r="M53" s="4"/>
      <c r="N53" s="4"/>
      <c r="O53" s="4"/>
      <c r="P53" s="4"/>
      <c r="Q53" s="4"/>
      <c r="R53" s="4"/>
      <c r="S53" s="4"/>
    </row>
    <row r="54" spans="1:19" s="1" customFormat="1" x14ac:dyDescent="0.15">
      <c r="A54" s="41"/>
      <c r="B54" s="53"/>
      <c r="C54" s="53"/>
      <c r="D54" s="53"/>
      <c r="E54" s="53"/>
      <c r="F54" s="53"/>
      <c r="G54" s="53"/>
      <c r="H54" s="53"/>
      <c r="I54" s="53"/>
      <c r="J54" s="53"/>
      <c r="K54" s="53"/>
      <c r="M54" s="4"/>
      <c r="N54" s="4"/>
      <c r="O54" s="4"/>
      <c r="P54" s="4"/>
      <c r="Q54" s="4"/>
      <c r="R54" s="4"/>
      <c r="S54" s="4"/>
    </row>
    <row r="55" spans="1:19" s="1" customFormat="1" x14ac:dyDescent="0.15">
      <c r="A55" s="52"/>
      <c r="B55" s="53"/>
      <c r="C55" s="53"/>
      <c r="D55" s="53"/>
      <c r="E55" s="53"/>
      <c r="F55" s="53"/>
      <c r="G55" s="53"/>
      <c r="H55" s="53"/>
      <c r="I55" s="53"/>
      <c r="J55" s="53"/>
      <c r="K55" s="53"/>
      <c r="M55" s="4"/>
      <c r="N55" s="4"/>
      <c r="O55" s="4"/>
      <c r="P55" s="4"/>
      <c r="Q55" s="4"/>
      <c r="R55" s="4"/>
      <c r="S55" s="4"/>
    </row>
    <row r="56" spans="1:19" s="1" customFormat="1" x14ac:dyDescent="0.15">
      <c r="B56" s="53"/>
      <c r="C56" s="53"/>
      <c r="D56" s="53"/>
      <c r="E56" s="53"/>
      <c r="F56" s="53"/>
      <c r="G56" s="53"/>
      <c r="H56" s="53"/>
      <c r="I56" s="53"/>
      <c r="J56" s="53"/>
      <c r="K56" s="53"/>
      <c r="M56" s="4"/>
      <c r="N56" s="4"/>
      <c r="O56" s="4"/>
      <c r="P56" s="4"/>
      <c r="Q56" s="4"/>
      <c r="R56" s="4"/>
      <c r="S56" s="4"/>
    </row>
    <row r="57" spans="1:19" s="1" customFormat="1" x14ac:dyDescent="0.15">
      <c r="M57" s="4"/>
      <c r="N57" s="4"/>
      <c r="O57" s="4"/>
      <c r="P57" s="4"/>
      <c r="Q57" s="4"/>
      <c r="R57" s="4"/>
      <c r="S57" s="4"/>
    </row>
    <row r="58" spans="1:19" x14ac:dyDescent="0.15">
      <c r="B58" s="53"/>
    </row>
    <row r="65" spans="7:8" x14ac:dyDescent="0.15">
      <c r="G65" s="1" t="e">
        <f>G61/G60</f>
        <v>#DIV/0!</v>
      </c>
      <c r="H65" s="1" t="e">
        <f>H61/H60</f>
        <v>#DIV/0!</v>
      </c>
    </row>
    <row r="67" spans="7:8" x14ac:dyDescent="0.15">
      <c r="H67" s="232" t="e">
        <f>H65-G65</f>
        <v>#DIV/0!</v>
      </c>
    </row>
  </sheetData>
  <mergeCells count="11">
    <mergeCell ref="N6:S6"/>
    <mergeCell ref="C3:K3"/>
    <mergeCell ref="N3:S3"/>
    <mergeCell ref="F4:G4"/>
    <mergeCell ref="H4:I4"/>
    <mergeCell ref="M5:S5"/>
    <mergeCell ref="M25:S25"/>
    <mergeCell ref="B42:K42"/>
    <mergeCell ref="B49:I49"/>
    <mergeCell ref="B50:K50"/>
    <mergeCell ref="B53:K53"/>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0D37-0C7D-4205-871E-16F21E369758}">
  <sheetPr>
    <tabColor theme="9" tint="0.39997558519241921"/>
  </sheetPr>
  <dimension ref="A1:S52"/>
  <sheetViews>
    <sheetView zoomScale="75" zoomScaleNormal="100" zoomScaleSheetLayoutView="120" workbookViewId="0">
      <selection activeCell="O60" sqref="O6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350</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25</v>
      </c>
      <c r="D6" s="47">
        <f>C6</f>
        <v>25</v>
      </c>
      <c r="E6" s="47">
        <f>D6</f>
        <v>25</v>
      </c>
      <c r="F6" s="47">
        <v>1</v>
      </c>
      <c r="G6" s="47">
        <v>50</v>
      </c>
      <c r="H6" s="47">
        <v>1</v>
      </c>
      <c r="I6" s="47">
        <v>50</v>
      </c>
      <c r="J6" s="15"/>
      <c r="K6" s="16" t="s">
        <v>19</v>
      </c>
      <c r="M6" s="17"/>
      <c r="N6" s="253"/>
      <c r="O6" s="254"/>
      <c r="P6" s="254"/>
      <c r="Q6" s="254"/>
      <c r="R6" s="254"/>
      <c r="S6" s="254"/>
    </row>
    <row r="7" spans="2:19" ht="18.75" customHeight="1" x14ac:dyDescent="0.15">
      <c r="B7" s="13" t="s">
        <v>11</v>
      </c>
      <c r="C7" s="47">
        <f>C6</f>
        <v>25</v>
      </c>
      <c r="D7" s="47">
        <f t="shared" ref="D7:E7" si="0">D6</f>
        <v>25</v>
      </c>
      <c r="E7" s="47">
        <f t="shared" si="0"/>
        <v>25</v>
      </c>
      <c r="F7" s="47">
        <v>1</v>
      </c>
      <c r="G7" s="47">
        <v>50</v>
      </c>
      <c r="H7" s="47">
        <v>1</v>
      </c>
      <c r="I7" s="47">
        <v>50</v>
      </c>
      <c r="J7" s="15"/>
      <c r="K7" s="16" t="s">
        <v>19</v>
      </c>
      <c r="M7" s="17"/>
      <c r="N7" s="60"/>
      <c r="O7" s="61"/>
      <c r="P7" s="61"/>
      <c r="Q7" s="61"/>
      <c r="R7" s="61"/>
      <c r="S7" s="61"/>
    </row>
    <row r="8" spans="2:19" x14ac:dyDescent="0.15">
      <c r="B8" s="13" t="s">
        <v>12</v>
      </c>
      <c r="C8" s="233">
        <v>32</v>
      </c>
      <c r="D8" s="233">
        <v>32</v>
      </c>
      <c r="E8" s="233">
        <v>32</v>
      </c>
      <c r="F8" s="233">
        <v>25</v>
      </c>
      <c r="G8" s="233">
        <v>35</v>
      </c>
      <c r="H8" s="233">
        <v>25</v>
      </c>
      <c r="I8" s="233">
        <v>35</v>
      </c>
      <c r="J8" s="15"/>
      <c r="K8" s="66" t="s">
        <v>351</v>
      </c>
      <c r="M8" s="17"/>
      <c r="N8" s="18"/>
      <c r="O8" s="18"/>
      <c r="P8" s="18"/>
      <c r="Q8" s="18"/>
      <c r="R8" s="18"/>
      <c r="S8" s="18"/>
    </row>
    <row r="9" spans="2:19" x14ac:dyDescent="0.15">
      <c r="B9" s="19" t="s">
        <v>14</v>
      </c>
      <c r="C9" s="234">
        <f>C8-1</f>
        <v>31</v>
      </c>
      <c r="D9" s="234">
        <f t="shared" ref="D9:E9" si="1">D8-1</f>
        <v>31</v>
      </c>
      <c r="E9" s="234">
        <f t="shared" si="1"/>
        <v>31</v>
      </c>
      <c r="F9" s="233">
        <v>25</v>
      </c>
      <c r="G9" s="233">
        <v>35</v>
      </c>
      <c r="H9" s="233">
        <v>25</v>
      </c>
      <c r="I9" s="233">
        <v>35</v>
      </c>
      <c r="J9" s="20"/>
      <c r="K9" s="66" t="s">
        <v>351</v>
      </c>
      <c r="M9" s="17"/>
      <c r="N9" s="18"/>
      <c r="O9" s="18"/>
      <c r="P9" s="18"/>
      <c r="Q9" s="18"/>
      <c r="R9" s="18"/>
      <c r="S9" s="18"/>
    </row>
    <row r="10" spans="2:19" x14ac:dyDescent="0.15">
      <c r="B10" s="13" t="s">
        <v>15</v>
      </c>
      <c r="C10" s="36">
        <v>7</v>
      </c>
      <c r="D10" s="36">
        <v>7</v>
      </c>
      <c r="E10" s="36">
        <v>7</v>
      </c>
      <c r="F10" s="233">
        <f>C10*0.75</f>
        <v>5.25</v>
      </c>
      <c r="G10" s="233">
        <f>C10*1.25</f>
        <v>8.75</v>
      </c>
      <c r="H10" s="233">
        <f>E10*0.75</f>
        <v>5.25</v>
      </c>
      <c r="I10" s="233">
        <f>E10*1.25</f>
        <v>8.75</v>
      </c>
      <c r="J10" s="15" t="s">
        <v>13</v>
      </c>
      <c r="K10" s="15">
        <v>1</v>
      </c>
      <c r="M10" s="1"/>
      <c r="N10" s="21"/>
      <c r="O10" s="21"/>
      <c r="P10" s="21"/>
      <c r="Q10" s="21"/>
      <c r="R10" s="21"/>
      <c r="S10" s="18"/>
    </row>
    <row r="11" spans="2:19" x14ac:dyDescent="0.15">
      <c r="B11" s="22" t="s">
        <v>16</v>
      </c>
      <c r="C11" s="36">
        <v>6</v>
      </c>
      <c r="D11" s="36">
        <v>6</v>
      </c>
      <c r="E11" s="36">
        <v>6</v>
      </c>
      <c r="F11" s="233">
        <f>C11*0.75</f>
        <v>4.5</v>
      </c>
      <c r="G11" s="233">
        <f>C11*1.25</f>
        <v>7.5</v>
      </c>
      <c r="H11" s="233">
        <f>E11*0.75</f>
        <v>4.5</v>
      </c>
      <c r="I11" s="233">
        <f>E11*1.25</f>
        <v>7.5</v>
      </c>
      <c r="J11" s="16" t="s">
        <v>13</v>
      </c>
      <c r="K11" s="15">
        <v>1</v>
      </c>
      <c r="M11" s="1"/>
      <c r="N11" s="21"/>
      <c r="O11" s="21"/>
      <c r="P11" s="21"/>
      <c r="Q11" s="21"/>
      <c r="R11" s="21"/>
      <c r="S11" s="18"/>
    </row>
    <row r="12" spans="2:19" x14ac:dyDescent="0.15">
      <c r="B12" s="22" t="s">
        <v>17</v>
      </c>
      <c r="C12" s="15">
        <v>25</v>
      </c>
      <c r="D12" s="15">
        <v>25</v>
      </c>
      <c r="E12" s="15">
        <v>25</v>
      </c>
      <c r="F12" s="233">
        <f>C12*0.75</f>
        <v>18.75</v>
      </c>
      <c r="G12" s="233">
        <f>C12*1.25</f>
        <v>31.25</v>
      </c>
      <c r="H12" s="233">
        <f>E12*0.75</f>
        <v>18.75</v>
      </c>
      <c r="I12" s="233">
        <f>E12*1.25</f>
        <v>31.25</v>
      </c>
      <c r="J12" s="16" t="s">
        <v>13</v>
      </c>
      <c r="K12" s="15" t="s">
        <v>352</v>
      </c>
      <c r="M12" s="17"/>
      <c r="N12" s="18"/>
      <c r="O12" s="18"/>
      <c r="P12" s="18"/>
      <c r="Q12" s="18"/>
      <c r="R12" s="18"/>
      <c r="S12" s="18"/>
    </row>
    <row r="13" spans="2:19" x14ac:dyDescent="0.15">
      <c r="B13" s="22" t="s">
        <v>18</v>
      </c>
      <c r="C13" s="15">
        <v>2</v>
      </c>
      <c r="D13" s="15">
        <v>2</v>
      </c>
      <c r="E13" s="15">
        <v>2</v>
      </c>
      <c r="F13" s="233">
        <f>C13*0.75</f>
        <v>1.5</v>
      </c>
      <c r="G13" s="233">
        <f>C13*1.25</f>
        <v>2.5</v>
      </c>
      <c r="H13" s="233">
        <f>E13*0.75</f>
        <v>1.5</v>
      </c>
      <c r="I13" s="233">
        <f>E13*1.25</f>
        <v>2.5</v>
      </c>
      <c r="J13" s="16" t="s">
        <v>13</v>
      </c>
      <c r="K13" s="15">
        <v>10</v>
      </c>
      <c r="M13" s="17"/>
      <c r="N13" s="18"/>
      <c r="O13" s="18"/>
      <c r="P13" s="18"/>
      <c r="Q13" s="18"/>
      <c r="R13" s="18"/>
      <c r="S13" s="18"/>
    </row>
    <row r="14" spans="2:19" x14ac:dyDescent="0.15">
      <c r="B14" s="23" t="s">
        <v>20</v>
      </c>
      <c r="C14" s="46">
        <v>35</v>
      </c>
      <c r="D14" s="46">
        <v>35</v>
      </c>
      <c r="E14" s="46">
        <v>35</v>
      </c>
      <c r="F14" s="233">
        <f>C14*0.75</f>
        <v>26.25</v>
      </c>
      <c r="G14" s="233">
        <f>C14*1.25</f>
        <v>43.75</v>
      </c>
      <c r="H14" s="233">
        <f>E14*0.75</f>
        <v>26.25</v>
      </c>
      <c r="I14" s="233">
        <f>E14*1.25</f>
        <v>43.75</v>
      </c>
      <c r="J14" s="16" t="s">
        <v>13</v>
      </c>
      <c r="K14" s="15" t="s">
        <v>353</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15">
        <v>10</v>
      </c>
      <c r="D19" s="15">
        <v>10</v>
      </c>
      <c r="E19" s="15">
        <v>10</v>
      </c>
      <c r="F19" s="15"/>
      <c r="G19" s="15"/>
      <c r="H19" s="15"/>
      <c r="I19" s="15"/>
      <c r="J19" s="16"/>
      <c r="K19" s="16">
        <v>3</v>
      </c>
      <c r="L19" s="3"/>
      <c r="M19" s="17"/>
      <c r="N19" s="18"/>
      <c r="O19" s="18"/>
      <c r="P19" s="18"/>
      <c r="Q19" s="18"/>
      <c r="R19" s="18"/>
      <c r="S19" s="18"/>
    </row>
    <row r="20" spans="2:19" x14ac:dyDescent="0.15">
      <c r="B20" s="22" t="s">
        <v>26</v>
      </c>
      <c r="C20" s="15">
        <v>30</v>
      </c>
      <c r="D20" s="15">
        <v>30</v>
      </c>
      <c r="E20" s="15">
        <v>30</v>
      </c>
      <c r="F20" s="15"/>
      <c r="G20" s="15"/>
      <c r="H20" s="15"/>
      <c r="I20" s="15"/>
      <c r="J20" s="16"/>
      <c r="K20" s="16">
        <v>3</v>
      </c>
      <c r="M20" s="17"/>
      <c r="N20" s="18"/>
      <c r="O20" s="18"/>
      <c r="P20" s="18"/>
      <c r="Q20" s="18"/>
      <c r="R20" s="18"/>
      <c r="S20" s="18"/>
    </row>
    <row r="21" spans="2:19" x14ac:dyDescent="0.15">
      <c r="B21" s="22" t="s">
        <v>27</v>
      </c>
      <c r="C21" s="15">
        <v>0.5</v>
      </c>
      <c r="D21" s="15">
        <v>0.5</v>
      </c>
      <c r="E21" s="15">
        <v>0.5</v>
      </c>
      <c r="F21" s="15"/>
      <c r="G21" s="15"/>
      <c r="H21" s="15"/>
      <c r="I21" s="15"/>
      <c r="J21" s="16"/>
      <c r="K21" s="16">
        <v>3</v>
      </c>
      <c r="M21" s="17"/>
      <c r="N21" s="18"/>
      <c r="O21" s="18"/>
      <c r="P21" s="18"/>
      <c r="Q21" s="18"/>
      <c r="R21" s="18"/>
      <c r="S21" s="18"/>
    </row>
    <row r="22" spans="2:19" x14ac:dyDescent="0.15">
      <c r="B22" s="22" t="s">
        <v>28</v>
      </c>
      <c r="C22" s="15">
        <v>10</v>
      </c>
      <c r="D22" s="15">
        <v>10</v>
      </c>
      <c r="E22" s="15">
        <v>10</v>
      </c>
      <c r="F22" s="15"/>
      <c r="G22" s="15"/>
      <c r="H22" s="15"/>
      <c r="I22" s="15"/>
      <c r="J22" s="16"/>
      <c r="K22" s="16">
        <v>3</v>
      </c>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235">
        <v>12.5</v>
      </c>
      <c r="D24" s="235">
        <v>12.5</v>
      </c>
      <c r="E24" s="235">
        <v>12.5</v>
      </c>
      <c r="F24" s="71"/>
      <c r="G24" s="71"/>
      <c r="H24" s="71"/>
      <c r="I24" s="71"/>
      <c r="J24" s="30"/>
      <c r="K24" s="16">
        <v>3</v>
      </c>
      <c r="M24" s="63"/>
      <c r="N24" s="63"/>
      <c r="O24" s="63"/>
      <c r="P24" s="63"/>
      <c r="Q24" s="63"/>
      <c r="R24" s="63"/>
      <c r="S24" s="63"/>
    </row>
    <row r="25" spans="2:19" x14ac:dyDescent="0.15">
      <c r="B25" s="22" t="s">
        <v>33</v>
      </c>
      <c r="C25" s="235">
        <v>0</v>
      </c>
      <c r="D25" s="235">
        <v>0</v>
      </c>
      <c r="E25" s="235">
        <v>0</v>
      </c>
      <c r="F25" s="71"/>
      <c r="G25" s="71"/>
      <c r="H25" s="71"/>
      <c r="I25" s="71"/>
      <c r="J25" s="30"/>
      <c r="K25" s="16">
        <v>3</v>
      </c>
      <c r="M25" s="17"/>
      <c r="N25" s="18"/>
      <c r="O25" s="18"/>
      <c r="P25" s="18"/>
      <c r="Q25" s="18"/>
      <c r="R25" s="18"/>
      <c r="S25" s="18"/>
    </row>
    <row r="26" spans="2:19" ht="15" customHeight="1" x14ac:dyDescent="0.15">
      <c r="B26" s="22" t="s">
        <v>34</v>
      </c>
      <c r="C26" s="236">
        <v>125</v>
      </c>
      <c r="D26" s="236">
        <v>125</v>
      </c>
      <c r="E26" s="236">
        <v>125</v>
      </c>
      <c r="F26" s="31"/>
      <c r="G26" s="31"/>
      <c r="H26" s="31"/>
      <c r="I26" s="31"/>
      <c r="J26" s="32"/>
      <c r="K26" s="16">
        <v>3</v>
      </c>
      <c r="M26" s="17"/>
      <c r="N26" s="18"/>
      <c r="O26" s="18"/>
      <c r="P26" s="18"/>
      <c r="Q26" s="18"/>
      <c r="R26" s="18"/>
      <c r="S26" s="18"/>
    </row>
    <row r="27" spans="2:19" x14ac:dyDescent="0.15">
      <c r="B27" s="22" t="s">
        <v>35</v>
      </c>
      <c r="C27" s="235">
        <v>0.94</v>
      </c>
      <c r="D27" s="235">
        <v>0.94</v>
      </c>
      <c r="E27" s="235">
        <v>0.94</v>
      </c>
      <c r="F27" s="31"/>
      <c r="G27" s="31"/>
      <c r="H27" s="31"/>
      <c r="I27" s="31"/>
      <c r="J27" s="16"/>
      <c r="K27" s="16">
        <v>3</v>
      </c>
      <c r="M27" s="17"/>
      <c r="N27" s="33"/>
      <c r="O27" s="33"/>
      <c r="P27" s="33"/>
      <c r="Q27" s="33"/>
      <c r="R27" s="18"/>
      <c r="S27" s="18"/>
    </row>
    <row r="28" spans="2:19" x14ac:dyDescent="0.15">
      <c r="B28" s="22" t="s">
        <v>36</v>
      </c>
      <c r="C28" s="235">
        <v>1.1000000000000001</v>
      </c>
      <c r="D28" s="235">
        <v>1.1000000000000001</v>
      </c>
      <c r="E28" s="235">
        <v>1.1000000000000001</v>
      </c>
      <c r="F28" s="31"/>
      <c r="G28" s="31"/>
      <c r="H28" s="31"/>
      <c r="I28" s="31"/>
      <c r="J28" s="16"/>
      <c r="K28" s="16">
        <v>3</v>
      </c>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51">
        <v>2</v>
      </c>
      <c r="D30" s="51">
        <f>C30*0.91</f>
        <v>1.82</v>
      </c>
      <c r="E30" s="51">
        <f>0.8*C30</f>
        <v>1.6</v>
      </c>
      <c r="F30" s="237">
        <v>1.3</v>
      </c>
      <c r="G30" s="237">
        <v>2.25</v>
      </c>
      <c r="H30" s="238">
        <f>E30*0.75</f>
        <v>1.2000000000000002</v>
      </c>
      <c r="I30" s="238">
        <f>E30*1.25</f>
        <v>2</v>
      </c>
      <c r="J30" s="30" t="s">
        <v>354</v>
      </c>
      <c r="K30" s="50" t="s">
        <v>355</v>
      </c>
      <c r="M30" s="17"/>
      <c r="N30" s="35"/>
      <c r="O30" s="35"/>
      <c r="P30" s="35"/>
      <c r="Q30" s="35"/>
      <c r="R30" s="18"/>
      <c r="S30" s="18"/>
    </row>
    <row r="31" spans="2:19" x14ac:dyDescent="0.15">
      <c r="B31" s="22" t="s">
        <v>40</v>
      </c>
      <c r="C31" s="48">
        <v>65</v>
      </c>
      <c r="D31" s="48">
        <v>65</v>
      </c>
      <c r="E31" s="48">
        <v>65</v>
      </c>
      <c r="F31" s="36">
        <v>50</v>
      </c>
      <c r="G31" s="36">
        <v>85</v>
      </c>
      <c r="H31" s="36">
        <v>50</v>
      </c>
      <c r="I31" s="36">
        <v>85</v>
      </c>
      <c r="J31" s="16"/>
      <c r="K31" s="50" t="s">
        <v>135</v>
      </c>
      <c r="M31" s="17"/>
      <c r="N31" s="35"/>
      <c r="O31" s="35"/>
      <c r="P31" s="35"/>
      <c r="Q31" s="35"/>
      <c r="R31" s="18"/>
      <c r="S31" s="18"/>
    </row>
    <row r="32" spans="2:19" x14ac:dyDescent="0.15">
      <c r="B32" s="22" t="s">
        <v>41</v>
      </c>
      <c r="C32" s="48">
        <v>35</v>
      </c>
      <c r="D32" s="48">
        <v>35</v>
      </c>
      <c r="E32" s="48">
        <v>35</v>
      </c>
      <c r="F32" s="36">
        <v>15</v>
      </c>
      <c r="G32" s="36">
        <v>50</v>
      </c>
      <c r="H32" s="36">
        <v>15</v>
      </c>
      <c r="I32" s="36">
        <v>50</v>
      </c>
      <c r="J32" s="16"/>
      <c r="K32" s="50" t="s">
        <v>135</v>
      </c>
      <c r="M32" s="17"/>
      <c r="N32" s="35"/>
      <c r="O32" s="35"/>
      <c r="P32" s="35"/>
      <c r="Q32" s="35"/>
      <c r="R32" s="18"/>
      <c r="S32" s="18"/>
    </row>
    <row r="33" spans="1:19" x14ac:dyDescent="0.15">
      <c r="B33" s="22" t="s">
        <v>42</v>
      </c>
      <c r="C33" s="36">
        <v>47600</v>
      </c>
      <c r="D33" s="36">
        <f>MROUND(C33*0.92,100)</f>
        <v>43800</v>
      </c>
      <c r="E33" s="36">
        <f>MROUND(C33*0.8,100)</f>
        <v>38100</v>
      </c>
      <c r="F33" s="233">
        <f>MROUND(C33*0.75,100)</f>
        <v>35700</v>
      </c>
      <c r="G33" s="233">
        <f>MROUND(C33*1.25,100)</f>
        <v>59500</v>
      </c>
      <c r="H33" s="233">
        <f>MROUND(E33*0.75,100)</f>
        <v>28600</v>
      </c>
      <c r="I33" s="233">
        <f>MROUND(E33*1.25,100)</f>
        <v>47600</v>
      </c>
      <c r="J33" s="16" t="s">
        <v>13</v>
      </c>
      <c r="K33" s="16" t="s">
        <v>356</v>
      </c>
      <c r="M33" s="17"/>
      <c r="N33" s="35"/>
      <c r="O33" s="35"/>
      <c r="P33" s="35"/>
      <c r="Q33" s="35"/>
      <c r="R33" s="18"/>
      <c r="S33" s="18"/>
    </row>
    <row r="34" spans="1:19" x14ac:dyDescent="0.15">
      <c r="B34" s="22" t="s">
        <v>45</v>
      </c>
      <c r="C34" s="122">
        <v>3.0430000000000001</v>
      </c>
      <c r="D34" s="122">
        <f>C34*0.92</f>
        <v>2.79956</v>
      </c>
      <c r="E34" s="122">
        <f>C34*0.8</f>
        <v>2.4344000000000001</v>
      </c>
      <c r="F34" s="238">
        <f>C34*0.75</f>
        <v>2.2822500000000003</v>
      </c>
      <c r="G34" s="238">
        <f>C34*1.25</f>
        <v>3.80375</v>
      </c>
      <c r="H34" s="238">
        <f>E34*0.75</f>
        <v>1.8258000000000001</v>
      </c>
      <c r="I34" s="238">
        <f>E34*1.25</f>
        <v>3.0430000000000001</v>
      </c>
      <c r="J34" s="16" t="s">
        <v>13</v>
      </c>
      <c r="K34" s="50" t="s">
        <v>357</v>
      </c>
      <c r="M34" s="17"/>
      <c r="N34" s="35"/>
      <c r="O34" s="35"/>
      <c r="P34" s="35"/>
      <c r="Q34" s="35"/>
      <c r="R34" s="18"/>
      <c r="S34" s="18"/>
    </row>
    <row r="35" spans="1:19" x14ac:dyDescent="0.15">
      <c r="B35" s="22" t="s">
        <v>46</v>
      </c>
      <c r="C35" s="36"/>
      <c r="D35" s="36"/>
      <c r="E35" s="36"/>
      <c r="F35" s="36"/>
      <c r="G35" s="36"/>
      <c r="H35" s="36"/>
      <c r="I35" s="36"/>
      <c r="J35" s="16"/>
      <c r="K35" s="16"/>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255" t="s">
        <v>51</v>
      </c>
      <c r="C38" s="255"/>
      <c r="D38" s="255"/>
      <c r="E38" s="255"/>
      <c r="F38" s="255"/>
      <c r="G38" s="255"/>
      <c r="H38" s="255"/>
      <c r="I38" s="255"/>
      <c r="J38" s="255"/>
      <c r="K38" s="255"/>
    </row>
    <row r="39" spans="1:19" ht="15" customHeight="1" x14ac:dyDescent="0.15">
      <c r="A39" s="53">
        <v>2</v>
      </c>
      <c r="B39" s="255" t="s">
        <v>358</v>
      </c>
      <c r="C39" s="255"/>
      <c r="D39" s="255"/>
      <c r="E39" s="255"/>
      <c r="F39" s="255"/>
      <c r="G39" s="255"/>
      <c r="H39" s="255"/>
      <c r="I39" s="255"/>
      <c r="J39" s="255"/>
      <c r="K39" s="255"/>
    </row>
    <row r="40" spans="1:19" x14ac:dyDescent="0.15">
      <c r="A40" s="53">
        <v>3</v>
      </c>
      <c r="B40" s="255" t="s">
        <v>359</v>
      </c>
      <c r="C40" s="255"/>
      <c r="D40" s="255"/>
      <c r="E40" s="255"/>
      <c r="F40" s="255"/>
      <c r="G40" s="255"/>
      <c r="H40" s="255"/>
      <c r="I40" s="255"/>
      <c r="J40" s="255"/>
      <c r="K40" s="255"/>
    </row>
    <row r="41" spans="1:19" ht="15" customHeight="1" x14ac:dyDescent="0.15">
      <c r="A41" s="53">
        <v>4</v>
      </c>
      <c r="B41" s="255" t="s">
        <v>360</v>
      </c>
      <c r="C41" s="255"/>
      <c r="D41" s="255"/>
      <c r="E41" s="255"/>
      <c r="F41" s="255"/>
      <c r="G41" s="255"/>
      <c r="H41" s="255"/>
      <c r="I41" s="255"/>
      <c r="J41" s="255"/>
      <c r="K41" s="255"/>
    </row>
    <row r="42" spans="1:19" ht="15" customHeight="1" x14ac:dyDescent="0.15">
      <c r="A42" s="53">
        <v>5</v>
      </c>
      <c r="B42" s="255" t="s">
        <v>361</v>
      </c>
      <c r="C42" s="255"/>
      <c r="D42" s="255"/>
      <c r="E42" s="255"/>
      <c r="F42" s="255"/>
      <c r="G42" s="255"/>
      <c r="H42" s="255"/>
      <c r="I42" s="255"/>
      <c r="J42" s="255"/>
      <c r="K42" s="255"/>
    </row>
    <row r="43" spans="1:19" ht="15" customHeight="1" x14ac:dyDescent="0.15">
      <c r="A43" s="53">
        <v>6</v>
      </c>
      <c r="B43" s="255" t="s">
        <v>362</v>
      </c>
      <c r="C43" s="255"/>
      <c r="D43" s="255"/>
      <c r="E43" s="255"/>
      <c r="F43" s="255"/>
      <c r="G43" s="255"/>
      <c r="H43" s="255"/>
      <c r="I43" s="255"/>
      <c r="J43" s="255"/>
      <c r="K43" s="255"/>
    </row>
    <row r="44" spans="1:19" ht="15" customHeight="1" x14ac:dyDescent="0.15">
      <c r="A44" s="53">
        <v>7</v>
      </c>
      <c r="B44" s="255" t="s">
        <v>363</v>
      </c>
      <c r="C44" s="255"/>
      <c r="D44" s="255"/>
      <c r="E44" s="255"/>
      <c r="F44" s="255"/>
      <c r="G44" s="255"/>
      <c r="H44" s="255"/>
      <c r="I44" s="255"/>
      <c r="J44" s="255"/>
      <c r="K44" s="255"/>
    </row>
    <row r="45" spans="1:19" ht="25.5" customHeight="1" x14ac:dyDescent="0.15">
      <c r="A45" s="53">
        <v>8</v>
      </c>
      <c r="B45" s="255" t="s">
        <v>364</v>
      </c>
      <c r="C45" s="255"/>
      <c r="D45" s="255"/>
      <c r="E45" s="255"/>
      <c r="F45" s="255"/>
      <c r="G45" s="255"/>
      <c r="H45" s="255"/>
      <c r="I45" s="255"/>
      <c r="J45" s="255"/>
      <c r="K45" s="255"/>
    </row>
    <row r="46" spans="1:19" x14ac:dyDescent="0.15">
      <c r="A46" s="53">
        <v>9</v>
      </c>
      <c r="B46" s="255" t="s">
        <v>365</v>
      </c>
      <c r="C46" s="255"/>
      <c r="D46" s="255"/>
      <c r="E46" s="255"/>
      <c r="F46" s="255"/>
      <c r="G46" s="255"/>
      <c r="H46" s="255"/>
      <c r="I46" s="255"/>
      <c r="J46" s="255"/>
      <c r="K46" s="255"/>
    </row>
    <row r="47" spans="1:19" x14ac:dyDescent="0.15">
      <c r="A47" s="53">
        <v>10</v>
      </c>
      <c r="B47" s="255" t="s">
        <v>363</v>
      </c>
      <c r="C47" s="255"/>
      <c r="D47" s="255"/>
      <c r="E47" s="255"/>
      <c r="F47" s="255"/>
      <c r="G47" s="255"/>
      <c r="H47" s="255"/>
      <c r="I47" s="255"/>
      <c r="J47" s="255"/>
      <c r="K47" s="255"/>
    </row>
    <row r="48" spans="1:19" x14ac:dyDescent="0.15">
      <c r="A48" s="53">
        <v>11</v>
      </c>
      <c r="B48" s="53" t="s">
        <v>54</v>
      </c>
      <c r="C48" s="65"/>
      <c r="D48" s="65"/>
      <c r="E48" s="65"/>
      <c r="F48" s="65"/>
      <c r="G48" s="65"/>
      <c r="H48" s="65"/>
      <c r="I48" s="65"/>
      <c r="J48" s="65"/>
      <c r="K48" s="65"/>
    </row>
    <row r="49" spans="1:12" x14ac:dyDescent="0.15">
      <c r="A49" s="3" t="s">
        <v>59</v>
      </c>
      <c r="C49" s="17"/>
      <c r="D49" s="17"/>
      <c r="E49" s="17"/>
      <c r="F49" s="17"/>
      <c r="G49" s="17"/>
      <c r="H49" s="17"/>
      <c r="I49" s="17"/>
      <c r="J49" s="17"/>
      <c r="K49" s="17"/>
      <c r="L49" s="17"/>
    </row>
    <row r="50" spans="1:12" x14ac:dyDescent="0.15">
      <c r="A50" s="52" t="s">
        <v>13</v>
      </c>
      <c r="B50" s="255" t="s">
        <v>75</v>
      </c>
      <c r="C50" s="255"/>
      <c r="D50" s="255"/>
      <c r="E50" s="255"/>
      <c r="F50" s="255"/>
      <c r="G50" s="255"/>
      <c r="H50" s="255"/>
      <c r="I50" s="255"/>
      <c r="J50" s="255"/>
      <c r="K50" s="255"/>
    </row>
    <row r="51" spans="1:12" x14ac:dyDescent="0.15">
      <c r="A51" s="52" t="s">
        <v>61</v>
      </c>
      <c r="B51" s="255" t="s">
        <v>76</v>
      </c>
      <c r="C51" s="255"/>
      <c r="D51" s="255"/>
      <c r="E51" s="255"/>
      <c r="F51" s="255"/>
      <c r="G51" s="255"/>
      <c r="H51" s="255"/>
      <c r="I51" s="255"/>
      <c r="J51" s="255"/>
      <c r="K51" s="255"/>
    </row>
    <row r="52" spans="1:12" ht="42.75" customHeight="1" x14ac:dyDescent="0.15">
      <c r="A52" s="59" t="s">
        <v>32</v>
      </c>
      <c r="B52" s="262" t="s">
        <v>80</v>
      </c>
      <c r="C52" s="262"/>
      <c r="D52" s="262"/>
      <c r="E52" s="262"/>
      <c r="F52" s="262"/>
      <c r="G52" s="262"/>
      <c r="H52" s="262"/>
      <c r="I52" s="262"/>
      <c r="J52" s="262"/>
      <c r="K52" s="262"/>
    </row>
  </sheetData>
  <mergeCells count="22">
    <mergeCell ref="B40:K40"/>
    <mergeCell ref="C3:K3"/>
    <mergeCell ref="N3:S3"/>
    <mergeCell ref="F4:G4"/>
    <mergeCell ref="H4:I4"/>
    <mergeCell ref="M5:S5"/>
    <mergeCell ref="N6:S6"/>
    <mergeCell ref="M23:S23"/>
    <mergeCell ref="M28:S28"/>
    <mergeCell ref="M35:S35"/>
    <mergeCell ref="B38:K38"/>
    <mergeCell ref="B39:K39"/>
    <mergeCell ref="B47:K47"/>
    <mergeCell ref="B50:K50"/>
    <mergeCell ref="B51:K51"/>
    <mergeCell ref="B52:K52"/>
    <mergeCell ref="B41:K41"/>
    <mergeCell ref="B42:K42"/>
    <mergeCell ref="B43:K43"/>
    <mergeCell ref="B44:K44"/>
    <mergeCell ref="B45:K45"/>
    <mergeCell ref="B46:K4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5577F-DBFB-4139-9EF1-842DE484CB2B}">
  <sheetPr>
    <tabColor theme="9" tint="0.39997558519241921"/>
  </sheetPr>
  <dimension ref="A1:S57"/>
  <sheetViews>
    <sheetView zoomScale="85" zoomScaleNormal="85" zoomScaleSheetLayoutView="120" workbookViewId="0">
      <selection activeCell="O60" sqref="O6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366</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v>
      </c>
      <c r="D6" s="47">
        <v>1</v>
      </c>
      <c r="E6" s="47">
        <v>1</v>
      </c>
      <c r="F6" s="47"/>
      <c r="G6" s="47"/>
      <c r="H6" s="47"/>
      <c r="I6" s="47"/>
      <c r="J6" s="15"/>
      <c r="K6" s="16">
        <v>3</v>
      </c>
      <c r="M6" s="17"/>
      <c r="N6" s="253"/>
      <c r="O6" s="254"/>
      <c r="P6" s="254"/>
      <c r="Q6" s="254"/>
      <c r="R6" s="254"/>
      <c r="S6" s="254"/>
    </row>
    <row r="7" spans="2:19" ht="15" customHeight="1" x14ac:dyDescent="0.15">
      <c r="B7" s="13" t="s">
        <v>11</v>
      </c>
      <c r="C7" s="47">
        <v>1</v>
      </c>
      <c r="D7" s="47">
        <v>1</v>
      </c>
      <c r="E7" s="47">
        <v>1</v>
      </c>
      <c r="F7" s="47"/>
      <c r="G7" s="47"/>
      <c r="H7" s="47"/>
      <c r="I7" s="47"/>
      <c r="J7" s="15"/>
      <c r="K7" s="16">
        <v>3</v>
      </c>
      <c r="M7" s="17"/>
      <c r="N7" s="60"/>
      <c r="O7" s="61"/>
      <c r="P7" s="61"/>
      <c r="Q7" s="61"/>
      <c r="R7" s="61"/>
      <c r="S7" s="61"/>
    </row>
    <row r="8" spans="2:19" x14ac:dyDescent="0.15">
      <c r="B8" s="13" t="s">
        <v>12</v>
      </c>
      <c r="C8" s="233">
        <v>35</v>
      </c>
      <c r="D8" s="233">
        <v>35</v>
      </c>
      <c r="E8" s="233">
        <v>35</v>
      </c>
      <c r="F8" s="233"/>
      <c r="G8" s="233"/>
      <c r="H8" s="233"/>
      <c r="I8" s="233"/>
      <c r="J8" s="15"/>
      <c r="K8" s="66">
        <v>4</v>
      </c>
      <c r="M8" s="17"/>
      <c r="N8" s="18"/>
      <c r="O8" s="18"/>
      <c r="P8" s="18"/>
      <c r="Q8" s="18"/>
      <c r="R8" s="18"/>
      <c r="S8" s="18"/>
    </row>
    <row r="9" spans="2:19" x14ac:dyDescent="0.15">
      <c r="B9" s="19" t="s">
        <v>14</v>
      </c>
      <c r="C9" s="234">
        <v>34</v>
      </c>
      <c r="D9" s="234">
        <v>34</v>
      </c>
      <c r="E9" s="234">
        <v>34</v>
      </c>
      <c r="F9" s="233"/>
      <c r="G9" s="233"/>
      <c r="H9" s="233"/>
      <c r="I9" s="233"/>
      <c r="J9" s="20"/>
      <c r="K9" s="66">
        <v>4</v>
      </c>
      <c r="M9" s="17"/>
      <c r="N9" s="18"/>
      <c r="O9" s="18"/>
      <c r="P9" s="18"/>
      <c r="Q9" s="18"/>
      <c r="R9" s="18"/>
      <c r="S9" s="18"/>
    </row>
    <row r="10" spans="2:19" x14ac:dyDescent="0.15">
      <c r="B10" s="13" t="s">
        <v>15</v>
      </c>
      <c r="C10" s="36">
        <v>5</v>
      </c>
      <c r="D10" s="36">
        <v>5</v>
      </c>
      <c r="E10" s="36">
        <v>5</v>
      </c>
      <c r="F10" s="233"/>
      <c r="G10" s="233"/>
      <c r="H10" s="233"/>
      <c r="I10" s="233"/>
      <c r="J10" s="15"/>
      <c r="K10" s="15">
        <v>1</v>
      </c>
      <c r="M10" s="1"/>
      <c r="N10" s="21"/>
      <c r="O10" s="21"/>
      <c r="P10" s="21"/>
      <c r="Q10" s="21"/>
      <c r="R10" s="21"/>
      <c r="S10" s="18"/>
    </row>
    <row r="11" spans="2:19" x14ac:dyDescent="0.15">
      <c r="B11" s="22" t="s">
        <v>16</v>
      </c>
      <c r="C11" s="36">
        <v>5</v>
      </c>
      <c r="D11" s="36">
        <v>5</v>
      </c>
      <c r="E11" s="36">
        <v>5</v>
      </c>
      <c r="F11" s="233"/>
      <c r="G11" s="233"/>
      <c r="H11" s="233"/>
      <c r="I11" s="233"/>
      <c r="J11" s="16"/>
      <c r="K11" s="15">
        <v>1</v>
      </c>
      <c r="M11" s="1"/>
      <c r="N11" s="21"/>
      <c r="O11" s="21"/>
      <c r="P11" s="21"/>
      <c r="Q11" s="21"/>
      <c r="R11" s="21"/>
      <c r="S11" s="18"/>
    </row>
    <row r="12" spans="2:19" x14ac:dyDescent="0.15">
      <c r="B12" s="22" t="s">
        <v>17</v>
      </c>
      <c r="C12" s="15">
        <v>25</v>
      </c>
      <c r="D12" s="15">
        <v>25</v>
      </c>
      <c r="E12" s="15">
        <v>25</v>
      </c>
      <c r="F12" s="233"/>
      <c r="G12" s="233"/>
      <c r="H12" s="233"/>
      <c r="I12" s="233"/>
      <c r="J12" s="16"/>
      <c r="K12" s="15">
        <v>7</v>
      </c>
      <c r="M12" s="17"/>
      <c r="N12" s="18"/>
      <c r="O12" s="18"/>
      <c r="P12" s="18"/>
      <c r="Q12" s="18"/>
      <c r="R12" s="18"/>
      <c r="S12" s="18"/>
    </row>
    <row r="13" spans="2:19" x14ac:dyDescent="0.15">
      <c r="B13" s="22" t="s">
        <v>18</v>
      </c>
      <c r="C13" s="15">
        <v>1.5</v>
      </c>
      <c r="D13" s="15">
        <v>1.5</v>
      </c>
      <c r="E13" s="15">
        <v>1.5</v>
      </c>
      <c r="F13" s="233"/>
      <c r="G13" s="233"/>
      <c r="H13" s="233"/>
      <c r="I13" s="233"/>
      <c r="J13" s="16"/>
      <c r="K13" s="15">
        <v>7</v>
      </c>
      <c r="M13" s="17"/>
      <c r="N13" s="18"/>
      <c r="O13" s="18"/>
      <c r="P13" s="18"/>
      <c r="Q13" s="18"/>
      <c r="R13" s="18"/>
      <c r="S13" s="18"/>
    </row>
    <row r="14" spans="2:19" x14ac:dyDescent="0.15">
      <c r="B14" s="23" t="s">
        <v>20</v>
      </c>
      <c r="C14" s="46">
        <v>70</v>
      </c>
      <c r="D14" s="46">
        <v>70</v>
      </c>
      <c r="E14" s="46">
        <v>70</v>
      </c>
      <c r="F14" s="233"/>
      <c r="G14" s="233"/>
      <c r="H14" s="233"/>
      <c r="I14" s="233"/>
      <c r="J14" s="16"/>
      <c r="K14" s="15">
        <v>12</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20</v>
      </c>
      <c r="D19" s="47">
        <v>20</v>
      </c>
      <c r="E19" s="47">
        <v>20</v>
      </c>
      <c r="F19" s="47">
        <v>10</v>
      </c>
      <c r="G19" s="47">
        <v>30</v>
      </c>
      <c r="H19" s="47">
        <v>10</v>
      </c>
      <c r="I19" s="46">
        <v>30</v>
      </c>
      <c r="J19" s="16"/>
      <c r="K19" s="16">
        <v>11</v>
      </c>
      <c r="L19" s="3"/>
      <c r="M19" s="17"/>
      <c r="N19" s="18"/>
      <c r="O19" s="18"/>
      <c r="P19" s="18"/>
      <c r="Q19" s="18"/>
      <c r="R19" s="18"/>
      <c r="S19" s="18"/>
    </row>
    <row r="20" spans="2:19" x14ac:dyDescent="0.15">
      <c r="B20" s="22" t="s">
        <v>26</v>
      </c>
      <c r="C20" s="47">
        <v>20</v>
      </c>
      <c r="D20" s="47">
        <v>30</v>
      </c>
      <c r="E20" s="47">
        <v>15</v>
      </c>
      <c r="F20" s="47">
        <v>30</v>
      </c>
      <c r="G20" s="47">
        <v>50</v>
      </c>
      <c r="H20" s="47">
        <v>10</v>
      </c>
      <c r="I20" s="46">
        <v>40</v>
      </c>
      <c r="J20" s="16"/>
      <c r="K20" s="16">
        <v>10</v>
      </c>
      <c r="M20" s="17"/>
      <c r="N20" s="18"/>
      <c r="O20" s="18"/>
      <c r="P20" s="18"/>
      <c r="Q20" s="18"/>
      <c r="R20" s="18"/>
      <c r="S20" s="18"/>
    </row>
    <row r="21" spans="2:19" x14ac:dyDescent="0.15">
      <c r="B21" s="22" t="s">
        <v>27</v>
      </c>
      <c r="C21" s="15"/>
      <c r="D21" s="15"/>
      <c r="E21" s="15"/>
      <c r="F21" s="15"/>
      <c r="G21" s="15"/>
      <c r="H21" s="15"/>
      <c r="I21" s="15"/>
      <c r="J21" s="16"/>
      <c r="K21" s="16"/>
      <c r="M21" s="17"/>
      <c r="N21" s="18"/>
      <c r="O21" s="18"/>
      <c r="P21" s="18"/>
      <c r="Q21" s="18"/>
      <c r="R21" s="18"/>
      <c r="S21" s="18"/>
    </row>
    <row r="22" spans="2:19" x14ac:dyDescent="0.15">
      <c r="B22" s="22" t="s">
        <v>28</v>
      </c>
      <c r="C22" s="15"/>
      <c r="D22" s="15"/>
      <c r="E22" s="15"/>
      <c r="F22" s="15"/>
      <c r="G22" s="15"/>
      <c r="H22" s="15"/>
      <c r="I22" s="15"/>
      <c r="J22" s="16"/>
      <c r="K22" s="16"/>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31"/>
      <c r="D24" s="31"/>
      <c r="E24" s="31"/>
      <c r="F24" s="31"/>
      <c r="G24" s="31"/>
      <c r="H24" s="31"/>
      <c r="I24" s="31"/>
      <c r="J24" s="30"/>
      <c r="K24" s="16"/>
      <c r="M24" s="63"/>
      <c r="N24" s="63"/>
      <c r="O24" s="63"/>
      <c r="P24" s="63"/>
      <c r="Q24" s="63"/>
      <c r="R24" s="63"/>
      <c r="S24" s="63"/>
    </row>
    <row r="25" spans="2:19" x14ac:dyDescent="0.15">
      <c r="B25" s="22" t="s">
        <v>33</v>
      </c>
      <c r="C25" s="31"/>
      <c r="D25" s="31"/>
      <c r="E25" s="31"/>
      <c r="F25" s="31"/>
      <c r="G25" s="31"/>
      <c r="H25" s="31"/>
      <c r="I25" s="31"/>
      <c r="J25" s="30"/>
      <c r="K25" s="16"/>
      <c r="M25" s="17"/>
      <c r="N25" s="18"/>
      <c r="O25" s="18"/>
      <c r="P25" s="18"/>
      <c r="Q25" s="18"/>
      <c r="R25" s="18"/>
      <c r="S25" s="18"/>
    </row>
    <row r="26" spans="2:19" ht="15" customHeight="1" x14ac:dyDescent="0.15">
      <c r="B26" s="22" t="s">
        <v>34</v>
      </c>
      <c r="C26" s="31"/>
      <c r="D26" s="31"/>
      <c r="E26" s="31"/>
      <c r="F26" s="31"/>
      <c r="G26" s="31"/>
      <c r="H26" s="31"/>
      <c r="I26" s="31"/>
      <c r="J26" s="32"/>
      <c r="K26" s="16"/>
      <c r="M26" s="17"/>
      <c r="N26" s="18"/>
      <c r="O26" s="18"/>
      <c r="P26" s="18"/>
      <c r="Q26" s="18"/>
      <c r="R26" s="18"/>
      <c r="S26" s="18"/>
    </row>
    <row r="27" spans="2:19" x14ac:dyDescent="0.15">
      <c r="B27" s="22" t="s">
        <v>35</v>
      </c>
      <c r="C27" s="31"/>
      <c r="D27" s="31"/>
      <c r="E27" s="31"/>
      <c r="F27" s="31"/>
      <c r="G27" s="31"/>
      <c r="H27" s="31"/>
      <c r="I27" s="31"/>
      <c r="J27" s="16"/>
      <c r="K27" s="16"/>
      <c r="M27" s="17"/>
      <c r="N27" s="33"/>
      <c r="O27" s="33"/>
      <c r="P27" s="33"/>
      <c r="Q27" s="33"/>
      <c r="R27" s="18"/>
      <c r="S27" s="18"/>
    </row>
    <row r="28" spans="2:19" x14ac:dyDescent="0.15">
      <c r="B28" s="22" t="s">
        <v>36</v>
      </c>
      <c r="C28" s="31"/>
      <c r="D28" s="31"/>
      <c r="E28" s="31"/>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51">
        <v>2.15</v>
      </c>
      <c r="D30" s="51">
        <f>C30*0.91</f>
        <v>1.9564999999999999</v>
      </c>
      <c r="E30" s="51">
        <f>0.8*C30</f>
        <v>1.72</v>
      </c>
      <c r="F30" s="237">
        <v>1.55</v>
      </c>
      <c r="G30" s="237">
        <v>2.15</v>
      </c>
      <c r="H30" s="238">
        <f>E30*0.75</f>
        <v>1.29</v>
      </c>
      <c r="I30" s="238">
        <f>E30*1.25</f>
        <v>2.15</v>
      </c>
      <c r="J30" s="30" t="s">
        <v>61</v>
      </c>
      <c r="K30" s="50" t="s">
        <v>367</v>
      </c>
      <c r="M30" s="17"/>
      <c r="N30" s="35"/>
      <c r="O30" s="35"/>
      <c r="P30" s="35"/>
      <c r="Q30" s="35"/>
      <c r="R30" s="18"/>
      <c r="S30" s="18"/>
    </row>
    <row r="31" spans="2:19" x14ac:dyDescent="0.15">
      <c r="B31" s="22" t="s">
        <v>40</v>
      </c>
      <c r="C31" s="48">
        <v>65</v>
      </c>
      <c r="D31" s="48">
        <v>65</v>
      </c>
      <c r="E31" s="48">
        <v>65</v>
      </c>
      <c r="F31" s="36">
        <v>50</v>
      </c>
      <c r="G31" s="36">
        <v>85</v>
      </c>
      <c r="H31" s="36">
        <v>50</v>
      </c>
      <c r="I31" s="36">
        <v>85</v>
      </c>
      <c r="J31" s="16"/>
      <c r="K31" s="50"/>
      <c r="M31" s="17"/>
      <c r="N31" s="35"/>
      <c r="O31" s="35"/>
      <c r="P31" s="35"/>
      <c r="Q31" s="35"/>
      <c r="R31" s="18"/>
      <c r="S31" s="18"/>
    </row>
    <row r="32" spans="2:19" x14ac:dyDescent="0.15">
      <c r="B32" s="22" t="s">
        <v>41</v>
      </c>
      <c r="C32" s="48">
        <v>35</v>
      </c>
      <c r="D32" s="48">
        <v>35</v>
      </c>
      <c r="E32" s="48">
        <v>35</v>
      </c>
      <c r="F32" s="36">
        <v>15</v>
      </c>
      <c r="G32" s="36">
        <v>50</v>
      </c>
      <c r="H32" s="36">
        <v>15</v>
      </c>
      <c r="I32" s="36">
        <v>50</v>
      </c>
      <c r="J32" s="16"/>
      <c r="K32" s="50"/>
      <c r="M32" s="17"/>
      <c r="N32" s="35"/>
      <c r="O32" s="35"/>
      <c r="P32" s="35"/>
      <c r="Q32" s="35"/>
      <c r="R32" s="18"/>
      <c r="S32" s="18"/>
    </row>
    <row r="33" spans="1:19" x14ac:dyDescent="0.15">
      <c r="B33" s="22" t="s">
        <v>42</v>
      </c>
      <c r="C33" s="36">
        <v>97000</v>
      </c>
      <c r="D33" s="36">
        <f>MROUND(C33*0.92,100)</f>
        <v>89200</v>
      </c>
      <c r="E33" s="36">
        <f>MROUND(C33*0.8,100)</f>
        <v>77600</v>
      </c>
      <c r="F33" s="233">
        <f>MROUND(C33*0.75,100)</f>
        <v>72800</v>
      </c>
      <c r="G33" s="233">
        <f>MROUND(C33*1.25,100)</f>
        <v>121300</v>
      </c>
      <c r="H33" s="233">
        <f>MROUND(E33*0.75,100)</f>
        <v>58200</v>
      </c>
      <c r="I33" s="233">
        <f>MROUND(E33*1.25,100)</f>
        <v>97000</v>
      </c>
      <c r="J33" s="16" t="s">
        <v>13</v>
      </c>
      <c r="K33" s="16" t="s">
        <v>368</v>
      </c>
      <c r="M33" s="17"/>
      <c r="N33" s="35"/>
      <c r="O33" s="35"/>
      <c r="P33" s="35"/>
      <c r="Q33" s="35"/>
      <c r="R33" s="18"/>
      <c r="S33" s="18"/>
    </row>
    <row r="34" spans="1:19" x14ac:dyDescent="0.15">
      <c r="B34" s="22" t="s">
        <v>45</v>
      </c>
      <c r="C34" s="51">
        <v>0.11</v>
      </c>
      <c r="D34" s="122">
        <f>C34*0.92</f>
        <v>0.1012</v>
      </c>
      <c r="E34" s="122">
        <f>C34*0.8</f>
        <v>8.8000000000000009E-2</v>
      </c>
      <c r="F34" s="238">
        <f>C34*0.75</f>
        <v>8.2500000000000004E-2</v>
      </c>
      <c r="G34" s="238">
        <f>C34*1.25</f>
        <v>0.13750000000000001</v>
      </c>
      <c r="H34" s="238">
        <f>E34*0.75</f>
        <v>6.6000000000000003E-2</v>
      </c>
      <c r="I34" s="238">
        <f>E34*1.25</f>
        <v>0.11000000000000001</v>
      </c>
      <c r="J34" s="16" t="s">
        <v>13</v>
      </c>
      <c r="K34" s="50" t="s">
        <v>369</v>
      </c>
      <c r="M34" s="17"/>
      <c r="N34" s="35"/>
      <c r="O34" s="35"/>
      <c r="P34" s="35"/>
      <c r="Q34" s="35"/>
      <c r="R34" s="18"/>
      <c r="S34" s="18"/>
    </row>
    <row r="35" spans="1:19" x14ac:dyDescent="0.15">
      <c r="B35" s="22" t="s">
        <v>46</v>
      </c>
      <c r="C35" s="36"/>
      <c r="D35" s="36"/>
      <c r="E35" s="36"/>
      <c r="F35" s="36"/>
      <c r="G35" s="36"/>
      <c r="H35" s="36"/>
      <c r="I35" s="36"/>
      <c r="J35" s="16"/>
      <c r="K35" s="16"/>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255" t="s">
        <v>51</v>
      </c>
      <c r="C38" s="255"/>
      <c r="D38" s="255"/>
      <c r="E38" s="255"/>
      <c r="F38" s="255"/>
      <c r="G38" s="255"/>
      <c r="H38" s="255"/>
      <c r="I38" s="255"/>
      <c r="J38" s="255"/>
      <c r="K38" s="255"/>
    </row>
    <row r="39" spans="1:19" ht="15" customHeight="1" x14ac:dyDescent="0.15">
      <c r="A39" s="53">
        <v>2</v>
      </c>
      <c r="B39" s="255" t="s">
        <v>370</v>
      </c>
      <c r="C39" s="255"/>
      <c r="D39" s="255"/>
      <c r="E39" s="255"/>
      <c r="F39" s="255"/>
      <c r="G39" s="255"/>
      <c r="H39" s="255"/>
      <c r="I39" s="255"/>
      <c r="J39" s="255"/>
      <c r="K39" s="255"/>
    </row>
    <row r="40" spans="1:19" x14ac:dyDescent="0.15">
      <c r="A40" s="53">
        <v>3</v>
      </c>
      <c r="B40" s="255" t="s">
        <v>371</v>
      </c>
      <c r="C40" s="255"/>
      <c r="D40" s="255"/>
      <c r="E40" s="255"/>
      <c r="F40" s="255"/>
      <c r="G40" s="255"/>
      <c r="H40" s="255"/>
      <c r="I40" s="255"/>
      <c r="J40" s="255"/>
      <c r="K40" s="255"/>
    </row>
    <row r="41" spans="1:19" ht="15" customHeight="1" x14ac:dyDescent="0.15">
      <c r="A41" s="53">
        <v>4</v>
      </c>
      <c r="B41" s="255" t="s">
        <v>372</v>
      </c>
      <c r="C41" s="255"/>
      <c r="D41" s="255"/>
      <c r="E41" s="255"/>
      <c r="F41" s="255"/>
      <c r="G41" s="255"/>
      <c r="H41" s="255"/>
      <c r="I41" s="255"/>
      <c r="J41" s="255"/>
      <c r="K41" s="255"/>
    </row>
    <row r="42" spans="1:19" ht="15" customHeight="1" x14ac:dyDescent="0.15">
      <c r="A42" s="53">
        <v>5</v>
      </c>
      <c r="B42" s="255" t="s">
        <v>373</v>
      </c>
      <c r="C42" s="255"/>
      <c r="D42" s="255"/>
      <c r="E42" s="255"/>
      <c r="F42" s="255"/>
      <c r="G42" s="255"/>
      <c r="H42" s="255"/>
      <c r="I42" s="255"/>
      <c r="J42" s="255"/>
      <c r="K42" s="255"/>
    </row>
    <row r="43" spans="1:19" ht="15" customHeight="1" x14ac:dyDescent="0.15">
      <c r="A43" s="53">
        <v>6</v>
      </c>
      <c r="B43" s="255" t="s">
        <v>362</v>
      </c>
      <c r="C43" s="255"/>
      <c r="D43" s="255"/>
      <c r="E43" s="255"/>
      <c r="F43" s="255"/>
      <c r="G43" s="255"/>
      <c r="H43" s="255"/>
      <c r="I43" s="255"/>
      <c r="J43" s="255"/>
      <c r="K43" s="255"/>
    </row>
    <row r="44" spans="1:19" ht="15" customHeight="1" x14ac:dyDescent="0.15">
      <c r="A44" s="53">
        <v>7</v>
      </c>
      <c r="B44" s="255" t="s">
        <v>363</v>
      </c>
      <c r="C44" s="255"/>
      <c r="D44" s="255"/>
      <c r="E44" s="255"/>
      <c r="F44" s="255"/>
      <c r="G44" s="255"/>
      <c r="H44" s="255"/>
      <c r="I44" s="255"/>
      <c r="J44" s="255"/>
      <c r="K44" s="255"/>
    </row>
    <row r="45" spans="1:19" ht="25.5" customHeight="1" x14ac:dyDescent="0.15">
      <c r="A45" s="53">
        <v>8</v>
      </c>
      <c r="B45" s="255" t="s">
        <v>364</v>
      </c>
      <c r="C45" s="255"/>
      <c r="D45" s="255"/>
      <c r="E45" s="255"/>
      <c r="F45" s="255"/>
      <c r="G45" s="255"/>
      <c r="H45" s="255"/>
      <c r="I45" s="255"/>
      <c r="J45" s="255"/>
      <c r="K45" s="255"/>
    </row>
    <row r="46" spans="1:19" x14ac:dyDescent="0.15">
      <c r="A46" s="53">
        <v>9</v>
      </c>
      <c r="B46" s="255" t="s">
        <v>54</v>
      </c>
      <c r="C46" s="255"/>
      <c r="D46" s="255"/>
      <c r="E46" s="255"/>
      <c r="F46" s="255"/>
      <c r="G46" s="255"/>
      <c r="H46" s="255"/>
      <c r="I46" s="255"/>
      <c r="J46" s="255"/>
      <c r="K46" s="255"/>
    </row>
    <row r="47" spans="1:19" x14ac:dyDescent="0.15">
      <c r="A47" s="53">
        <v>10</v>
      </c>
      <c r="B47" s="255" t="s">
        <v>374</v>
      </c>
      <c r="C47" s="255"/>
      <c r="D47" s="255"/>
      <c r="E47" s="255"/>
      <c r="F47" s="255"/>
      <c r="G47" s="255"/>
      <c r="H47" s="255"/>
      <c r="I47" s="255"/>
      <c r="J47" s="255"/>
      <c r="K47" s="255"/>
    </row>
    <row r="48" spans="1:19" x14ac:dyDescent="0.15">
      <c r="A48" s="53">
        <v>11</v>
      </c>
      <c r="B48" s="255" t="s">
        <v>269</v>
      </c>
      <c r="C48" s="255"/>
      <c r="D48" s="255"/>
      <c r="E48" s="255"/>
      <c r="F48" s="255"/>
      <c r="G48" s="255"/>
      <c r="H48" s="255"/>
      <c r="I48" s="255"/>
      <c r="J48" s="255"/>
      <c r="K48" s="255"/>
    </row>
    <row r="49" spans="1:12" ht="24.75" customHeight="1" x14ac:dyDescent="0.15">
      <c r="A49" s="53">
        <v>12</v>
      </c>
      <c r="B49" s="255" t="s">
        <v>375</v>
      </c>
      <c r="C49" s="255"/>
      <c r="D49" s="255"/>
      <c r="E49" s="255"/>
      <c r="F49" s="255"/>
      <c r="G49" s="255"/>
      <c r="H49" s="255"/>
      <c r="I49" s="255"/>
      <c r="J49" s="255"/>
      <c r="K49" s="255"/>
    </row>
    <row r="50" spans="1:12" x14ac:dyDescent="0.15">
      <c r="A50" s="3" t="s">
        <v>59</v>
      </c>
      <c r="C50" s="17"/>
      <c r="D50" s="17"/>
      <c r="E50" s="17"/>
      <c r="F50" s="17"/>
      <c r="G50" s="17"/>
      <c r="H50" s="17"/>
      <c r="I50" s="17"/>
      <c r="J50" s="17"/>
      <c r="K50" s="17"/>
      <c r="L50" s="17"/>
    </row>
    <row r="51" spans="1:12" x14ac:dyDescent="0.15">
      <c r="A51" s="52" t="s">
        <v>13</v>
      </c>
      <c r="B51" s="255" t="s">
        <v>75</v>
      </c>
      <c r="C51" s="255"/>
      <c r="D51" s="255"/>
      <c r="E51" s="255"/>
      <c r="F51" s="255"/>
      <c r="G51" s="255"/>
      <c r="H51" s="255"/>
      <c r="I51" s="255"/>
      <c r="J51" s="255"/>
      <c r="K51" s="255"/>
    </row>
    <row r="52" spans="1:12" ht="43.5" customHeight="1" x14ac:dyDescent="0.15">
      <c r="A52" s="59" t="s">
        <v>61</v>
      </c>
      <c r="B52" s="262" t="s">
        <v>80</v>
      </c>
      <c r="C52" s="262"/>
      <c r="D52" s="262"/>
      <c r="E52" s="262"/>
      <c r="F52" s="262"/>
      <c r="G52" s="262"/>
      <c r="H52" s="262"/>
      <c r="I52" s="262"/>
      <c r="J52" s="262"/>
      <c r="K52" s="262"/>
    </row>
    <row r="53" spans="1:12" x14ac:dyDescent="0.15">
      <c r="A53" s="52"/>
      <c r="B53" s="53"/>
    </row>
    <row r="54" spans="1:12" x14ac:dyDescent="0.15">
      <c r="A54" s="52"/>
    </row>
    <row r="55" spans="1:12" x14ac:dyDescent="0.15">
      <c r="A55" s="52"/>
    </row>
    <row r="56" spans="1:12" x14ac:dyDescent="0.15">
      <c r="A56" s="52"/>
    </row>
    <row r="57" spans="1:12" x14ac:dyDescent="0.15">
      <c r="A57" s="52"/>
    </row>
  </sheetData>
  <mergeCells count="23">
    <mergeCell ref="N6:S6"/>
    <mergeCell ref="C3:K3"/>
    <mergeCell ref="N3:S3"/>
    <mergeCell ref="F4:G4"/>
    <mergeCell ref="H4:I4"/>
    <mergeCell ref="M5:S5"/>
    <mergeCell ref="B46:K46"/>
    <mergeCell ref="M23:S23"/>
    <mergeCell ref="M28:S28"/>
    <mergeCell ref="M35:S35"/>
    <mergeCell ref="B38:K38"/>
    <mergeCell ref="B39:K39"/>
    <mergeCell ref="B40:K40"/>
    <mergeCell ref="B41:K41"/>
    <mergeCell ref="B42:K42"/>
    <mergeCell ref="B43:K43"/>
    <mergeCell ref="B44:K44"/>
    <mergeCell ref="B45:K45"/>
    <mergeCell ref="B47:K47"/>
    <mergeCell ref="B48:K48"/>
    <mergeCell ref="B49:K49"/>
    <mergeCell ref="B51:K51"/>
    <mergeCell ref="B52:K52"/>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B00D-7F34-43AA-A06B-437F0E8CF197}">
  <sheetPr>
    <tabColor theme="5" tint="-0.249977111117893"/>
  </sheetPr>
  <dimension ref="A1:S46"/>
  <sheetViews>
    <sheetView zoomScale="70" zoomScaleNormal="70" zoomScaleSheetLayoutView="120" workbookViewId="0">
      <selection activeCell="T69" sqref="T69"/>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c r="M1" s="9"/>
    </row>
    <row r="3" spans="2:19" ht="15" customHeight="1" x14ac:dyDescent="0.15">
      <c r="B3" s="5" t="s">
        <v>1</v>
      </c>
      <c r="C3" s="256" t="s">
        <v>407</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f>C37*(52-3)*0.99*10400*24*7/(8760*60*60)*C8</f>
        <v>21.58962284931507</v>
      </c>
      <c r="D6" s="47">
        <f>D37*(52-3)*0.99*10400*24*7/(8760*60*60)*D8</f>
        <v>22.334092602739727</v>
      </c>
      <c r="E6" s="47">
        <f>E37*(52-3)*0.99*10400*24*7/(8760*60*60)*E8</f>
        <v>23.078562356164387</v>
      </c>
      <c r="F6" s="14"/>
      <c r="G6" s="14"/>
      <c r="H6" s="14"/>
      <c r="I6" s="14"/>
      <c r="J6" s="15"/>
      <c r="K6" s="16"/>
      <c r="M6" s="17"/>
      <c r="N6" s="253"/>
      <c r="O6" s="254"/>
      <c r="P6" s="254"/>
      <c r="Q6" s="254"/>
      <c r="R6" s="254"/>
      <c r="S6" s="254"/>
    </row>
    <row r="7" spans="2:19" ht="27.75" customHeight="1" x14ac:dyDescent="0.15">
      <c r="B7" s="13" t="s">
        <v>11</v>
      </c>
      <c r="C7" s="47">
        <f>C6</f>
        <v>21.58962284931507</v>
      </c>
      <c r="D7" s="47">
        <f t="shared" ref="D7:E7" si="0">D6</f>
        <v>22.334092602739727</v>
      </c>
      <c r="E7" s="47">
        <f t="shared" si="0"/>
        <v>23.078562356164387</v>
      </c>
      <c r="F7" s="14"/>
      <c r="G7" s="14"/>
      <c r="H7" s="14"/>
      <c r="I7" s="14"/>
      <c r="J7" s="15"/>
      <c r="K7" s="16"/>
      <c r="M7" s="17"/>
      <c r="N7" s="60"/>
      <c r="O7" s="61"/>
      <c r="P7" s="61"/>
      <c r="Q7" s="61"/>
      <c r="R7" s="61"/>
      <c r="S7" s="61"/>
    </row>
    <row r="8" spans="2:19" x14ac:dyDescent="0.15">
      <c r="B8" s="13" t="s">
        <v>12</v>
      </c>
      <c r="C8" s="240">
        <v>0.28999999999999998</v>
      </c>
      <c r="D8" s="240">
        <v>0.3</v>
      </c>
      <c r="E8" s="240">
        <v>0.31</v>
      </c>
      <c r="F8" s="56">
        <f>C8-1.5%</f>
        <v>0.27499999999999997</v>
      </c>
      <c r="G8" s="56">
        <f>D8+1.5%</f>
        <v>0.315</v>
      </c>
      <c r="H8" s="56">
        <f>E8-1.5%</f>
        <v>0.29499999999999998</v>
      </c>
      <c r="I8" s="56">
        <f>E8+1.5%</f>
        <v>0.32500000000000001</v>
      </c>
      <c r="J8" s="15" t="s">
        <v>13</v>
      </c>
      <c r="K8" s="15">
        <v>1</v>
      </c>
      <c r="M8" s="17"/>
      <c r="N8" s="18"/>
      <c r="O8" s="18"/>
      <c r="P8" s="18"/>
      <c r="Q8" s="18"/>
      <c r="R8" s="18"/>
      <c r="S8" s="18"/>
    </row>
    <row r="9" spans="2:19" x14ac:dyDescent="0.15">
      <c r="B9" s="19" t="s">
        <v>14</v>
      </c>
      <c r="C9" s="241">
        <f>0.95*C8</f>
        <v>0.27549999999999997</v>
      </c>
      <c r="D9" s="241">
        <f t="shared" ref="D9:I9" si="1">0.95*D8</f>
        <v>0.28499999999999998</v>
      </c>
      <c r="E9" s="241">
        <f t="shared" si="1"/>
        <v>0.29449999999999998</v>
      </c>
      <c r="F9" s="241">
        <f t="shared" si="1"/>
        <v>0.26124999999999998</v>
      </c>
      <c r="G9" s="241">
        <f t="shared" si="1"/>
        <v>0.29924999999999996</v>
      </c>
      <c r="H9" s="241">
        <f t="shared" si="1"/>
        <v>0.28025</v>
      </c>
      <c r="I9" s="241">
        <f t="shared" si="1"/>
        <v>0.30874999999999997</v>
      </c>
      <c r="J9" s="20"/>
      <c r="K9" s="20">
        <v>1</v>
      </c>
      <c r="M9" s="17"/>
      <c r="N9" s="18"/>
      <c r="O9" s="18"/>
      <c r="P9" s="18"/>
      <c r="Q9" s="18"/>
      <c r="R9" s="18"/>
      <c r="S9" s="18"/>
    </row>
    <row r="10" spans="2:19" x14ac:dyDescent="0.15">
      <c r="B10" s="13" t="s">
        <v>15</v>
      </c>
      <c r="C10" s="242">
        <v>0.01</v>
      </c>
      <c r="D10" s="242">
        <v>0.01</v>
      </c>
      <c r="E10" s="242">
        <v>0.01</v>
      </c>
      <c r="F10" s="15"/>
      <c r="G10" s="15"/>
      <c r="H10" s="15"/>
      <c r="I10" s="15"/>
      <c r="J10" s="15"/>
      <c r="K10" s="15">
        <v>1</v>
      </c>
      <c r="M10" s="1"/>
      <c r="N10" s="21"/>
      <c r="O10" s="21"/>
      <c r="P10" s="21"/>
      <c r="Q10" s="21"/>
      <c r="R10" s="21"/>
      <c r="S10" s="18"/>
    </row>
    <row r="11" spans="2:19" x14ac:dyDescent="0.15">
      <c r="B11" s="22" t="s">
        <v>16</v>
      </c>
      <c r="C11" s="122">
        <v>2.9</v>
      </c>
      <c r="D11" s="122">
        <v>2.6</v>
      </c>
      <c r="E11" s="122">
        <v>2.1</v>
      </c>
      <c r="F11" s="122"/>
      <c r="G11" s="122"/>
      <c r="H11" s="122"/>
      <c r="I11" s="122"/>
      <c r="J11" s="16"/>
      <c r="K11" s="15">
        <v>1</v>
      </c>
      <c r="M11" s="1"/>
      <c r="N11" s="21"/>
      <c r="O11" s="21"/>
      <c r="P11" s="21"/>
      <c r="Q11" s="21"/>
      <c r="R11" s="21"/>
      <c r="S11" s="18"/>
    </row>
    <row r="12" spans="2:19" x14ac:dyDescent="0.15">
      <c r="B12" s="22" t="s">
        <v>17</v>
      </c>
      <c r="C12" s="15">
        <v>25</v>
      </c>
      <c r="D12" s="15">
        <v>25</v>
      </c>
      <c r="E12" s="15">
        <v>25</v>
      </c>
      <c r="F12" s="15"/>
      <c r="G12" s="15"/>
      <c r="H12" s="15"/>
      <c r="I12" s="15"/>
      <c r="J12" s="16"/>
      <c r="K12" s="15">
        <v>1</v>
      </c>
      <c r="M12" s="17"/>
      <c r="N12" s="18"/>
      <c r="O12" s="18"/>
      <c r="P12" s="18"/>
      <c r="Q12" s="18"/>
      <c r="R12" s="18"/>
      <c r="S12" s="18"/>
    </row>
    <row r="13" spans="2:19" x14ac:dyDescent="0.15">
      <c r="B13" s="22" t="s">
        <v>18</v>
      </c>
      <c r="C13" s="15">
        <v>2.5</v>
      </c>
      <c r="D13" s="15">
        <v>2.5</v>
      </c>
      <c r="E13" s="15">
        <v>2.5</v>
      </c>
      <c r="F13" s="15"/>
      <c r="G13" s="15"/>
      <c r="H13" s="15"/>
      <c r="I13" s="15"/>
      <c r="J13" s="16"/>
      <c r="K13" s="15">
        <v>1</v>
      </c>
      <c r="M13" s="17"/>
      <c r="N13" s="18"/>
      <c r="O13" s="18"/>
      <c r="P13" s="18"/>
      <c r="Q13" s="18"/>
      <c r="R13" s="18"/>
      <c r="S13" s="18"/>
    </row>
    <row r="14" spans="2:19" x14ac:dyDescent="0.15">
      <c r="B14" s="23" t="s">
        <v>20</v>
      </c>
      <c r="C14" s="46">
        <v>1.5</v>
      </c>
      <c r="D14" s="46">
        <v>1.5</v>
      </c>
      <c r="E14" s="46">
        <v>1.5</v>
      </c>
      <c r="F14" s="15"/>
      <c r="G14" s="15"/>
      <c r="H14" s="15"/>
      <c r="I14" s="15"/>
      <c r="J14" s="16"/>
      <c r="K14" s="15">
        <v>1</v>
      </c>
      <c r="M14" s="17"/>
      <c r="N14" s="18"/>
      <c r="O14" s="18"/>
      <c r="P14" s="18"/>
      <c r="Q14" s="18"/>
      <c r="R14" s="18"/>
      <c r="S14" s="18"/>
    </row>
    <row r="15" spans="2:19" ht="24" customHeight="1"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15">
        <v>10</v>
      </c>
      <c r="D19" s="15">
        <v>10</v>
      </c>
      <c r="E19" s="15">
        <v>10</v>
      </c>
      <c r="F19" s="71">
        <f t="shared" ref="F19:F22" si="2">C19*0.75</f>
        <v>7.5</v>
      </c>
      <c r="G19" s="71">
        <f t="shared" ref="G19:G22" si="3">E19*1.25</f>
        <v>12.5</v>
      </c>
      <c r="H19" s="71">
        <f t="shared" ref="H19:H22" si="4">E19*0.75</f>
        <v>7.5</v>
      </c>
      <c r="I19" s="71">
        <f t="shared" ref="I19:I22" si="5">E19*1.25</f>
        <v>12.5</v>
      </c>
      <c r="J19" s="16" t="s">
        <v>32</v>
      </c>
      <c r="K19" s="16">
        <v>1</v>
      </c>
      <c r="M19" s="17"/>
      <c r="N19" s="18"/>
      <c r="O19" s="18"/>
      <c r="P19" s="18"/>
      <c r="Q19" s="18"/>
      <c r="R19" s="18"/>
      <c r="S19" s="18"/>
    </row>
    <row r="20" spans="2:19" x14ac:dyDescent="0.15">
      <c r="B20" s="22" t="s">
        <v>26</v>
      </c>
      <c r="C20" s="15">
        <v>20</v>
      </c>
      <c r="D20" s="15">
        <v>20</v>
      </c>
      <c r="E20" s="15">
        <v>20</v>
      </c>
      <c r="F20" s="71">
        <f t="shared" si="2"/>
        <v>15</v>
      </c>
      <c r="G20" s="71">
        <f t="shared" si="3"/>
        <v>25</v>
      </c>
      <c r="H20" s="71">
        <f t="shared" si="4"/>
        <v>15</v>
      </c>
      <c r="I20" s="71">
        <f t="shared" si="5"/>
        <v>25</v>
      </c>
      <c r="J20" s="16" t="s">
        <v>32</v>
      </c>
      <c r="K20" s="16">
        <v>1</v>
      </c>
      <c r="M20" s="17"/>
      <c r="N20" s="18"/>
      <c r="O20" s="18"/>
      <c r="P20" s="18"/>
      <c r="Q20" s="18"/>
      <c r="R20" s="18"/>
      <c r="S20" s="18"/>
    </row>
    <row r="21" spans="2:19" x14ac:dyDescent="0.15">
      <c r="B21" s="22" t="s">
        <v>27</v>
      </c>
      <c r="C21" s="15">
        <v>0.5</v>
      </c>
      <c r="D21" s="15">
        <v>0.5</v>
      </c>
      <c r="E21" s="15">
        <v>0.5</v>
      </c>
      <c r="F21" s="71">
        <f t="shared" si="2"/>
        <v>0.375</v>
      </c>
      <c r="G21" s="71">
        <f t="shared" si="3"/>
        <v>0.625</v>
      </c>
      <c r="H21" s="71">
        <f t="shared" si="4"/>
        <v>0.375</v>
      </c>
      <c r="I21" s="71">
        <f t="shared" si="5"/>
        <v>0.625</v>
      </c>
      <c r="J21" s="16" t="s">
        <v>32</v>
      </c>
      <c r="K21" s="16">
        <v>1</v>
      </c>
      <c r="M21" s="17"/>
      <c r="N21" s="18"/>
      <c r="O21" s="18"/>
      <c r="P21" s="18"/>
      <c r="Q21" s="18"/>
      <c r="R21" s="18"/>
      <c r="S21" s="18"/>
    </row>
    <row r="22" spans="2:19" x14ac:dyDescent="0.15">
      <c r="B22" s="22" t="s">
        <v>28</v>
      </c>
      <c r="C22" s="15">
        <v>2</v>
      </c>
      <c r="D22" s="15">
        <v>2</v>
      </c>
      <c r="E22" s="15">
        <v>2</v>
      </c>
      <c r="F22" s="71">
        <f t="shared" si="2"/>
        <v>1.5</v>
      </c>
      <c r="G22" s="71">
        <f t="shared" si="3"/>
        <v>2.5</v>
      </c>
      <c r="H22" s="71">
        <f t="shared" si="4"/>
        <v>1.5</v>
      </c>
      <c r="I22" s="71">
        <f t="shared" si="5"/>
        <v>2.5</v>
      </c>
      <c r="J22" s="16" t="s">
        <v>32</v>
      </c>
      <c r="K22" s="16">
        <v>1</v>
      </c>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235"/>
      <c r="D24" s="235"/>
      <c r="E24" s="235"/>
      <c r="F24" s="71"/>
      <c r="G24" s="71"/>
      <c r="H24" s="71"/>
      <c r="I24" s="71"/>
      <c r="J24" s="30"/>
      <c r="K24" s="16"/>
      <c r="M24" s="17"/>
      <c r="N24" s="18"/>
      <c r="O24" s="18"/>
      <c r="P24" s="18"/>
      <c r="Q24" s="18"/>
      <c r="R24" s="18"/>
      <c r="S24" s="18"/>
    </row>
    <row r="25" spans="2:19" x14ac:dyDescent="0.15">
      <c r="B25" s="22" t="s">
        <v>33</v>
      </c>
      <c r="C25" s="235"/>
      <c r="D25" s="235"/>
      <c r="E25" s="235"/>
      <c r="F25" s="71"/>
      <c r="G25" s="71"/>
      <c r="H25" s="71"/>
      <c r="I25" s="71"/>
      <c r="J25" s="30"/>
      <c r="K25" s="16"/>
      <c r="M25" s="17"/>
      <c r="N25" s="18"/>
      <c r="O25" s="18"/>
      <c r="P25" s="18"/>
      <c r="Q25" s="18"/>
      <c r="R25" s="18"/>
      <c r="S25" s="18"/>
    </row>
    <row r="26" spans="2:19" ht="15" customHeight="1" x14ac:dyDescent="0.15">
      <c r="B26" s="22" t="s">
        <v>34</v>
      </c>
      <c r="C26" s="236"/>
      <c r="D26" s="236"/>
      <c r="E26" s="236"/>
      <c r="F26" s="31"/>
      <c r="G26" s="31"/>
      <c r="H26" s="31"/>
      <c r="I26" s="31"/>
      <c r="J26" s="32"/>
      <c r="K26" s="16"/>
      <c r="M26" s="17"/>
      <c r="N26" s="18"/>
      <c r="O26" s="18"/>
      <c r="P26" s="18"/>
      <c r="Q26" s="18"/>
      <c r="R26" s="18"/>
      <c r="S26" s="18"/>
    </row>
    <row r="27" spans="2:19" x14ac:dyDescent="0.15">
      <c r="B27" s="22" t="s">
        <v>35</v>
      </c>
      <c r="C27" s="235"/>
      <c r="D27" s="235"/>
      <c r="E27" s="235"/>
      <c r="F27" s="31"/>
      <c r="G27" s="31"/>
      <c r="H27" s="31"/>
      <c r="I27" s="31"/>
      <c r="J27" s="16"/>
      <c r="K27" s="16"/>
      <c r="M27" s="17"/>
      <c r="N27" s="33"/>
      <c r="O27" s="33"/>
      <c r="P27" s="33"/>
      <c r="Q27" s="33"/>
      <c r="R27" s="18"/>
      <c r="S27" s="18"/>
    </row>
    <row r="28" spans="2:19" x14ac:dyDescent="0.15">
      <c r="B28" s="22" t="s">
        <v>36</v>
      </c>
      <c r="C28" s="235"/>
      <c r="D28" s="235"/>
      <c r="E28" s="235"/>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408</v>
      </c>
      <c r="C30" s="122">
        <v>6.8</v>
      </c>
      <c r="D30" s="122">
        <f>0.9246*C30</f>
        <v>6.28728</v>
      </c>
      <c r="E30" s="122">
        <f>0.828*C30</f>
        <v>5.6303999999999998</v>
      </c>
      <c r="F30" s="71">
        <f>C30*0.75</f>
        <v>5.0999999999999996</v>
      </c>
      <c r="G30" s="71">
        <f>E30*1.25</f>
        <v>7.0380000000000003</v>
      </c>
      <c r="H30" s="71">
        <f>E30*0.75</f>
        <v>4.2227999999999994</v>
      </c>
      <c r="I30" s="71">
        <f>E30*1.25</f>
        <v>7.0380000000000003</v>
      </c>
      <c r="J30" s="30" t="s">
        <v>32</v>
      </c>
      <c r="K30" s="16">
        <v>1</v>
      </c>
      <c r="M30" s="17"/>
      <c r="N30" s="35"/>
      <c r="O30" s="35"/>
      <c r="P30" s="35"/>
      <c r="Q30" s="35"/>
      <c r="R30" s="18"/>
      <c r="S30" s="18"/>
    </row>
    <row r="31" spans="2:19" x14ac:dyDescent="0.15">
      <c r="B31" s="22" t="s">
        <v>40</v>
      </c>
      <c r="C31" s="122">
        <f>0.59*C30</f>
        <v>4.0119999999999996</v>
      </c>
      <c r="D31" s="122">
        <f>0.54*D30</f>
        <v>3.3951312000000002</v>
      </c>
      <c r="E31" s="122">
        <f>0.5*E30</f>
        <v>2.8151999999999999</v>
      </c>
      <c r="F31" s="71">
        <f>C31*0.75</f>
        <v>3.0089999999999995</v>
      </c>
      <c r="G31" s="71">
        <f>E31*1.25</f>
        <v>3.5190000000000001</v>
      </c>
      <c r="H31" s="71">
        <f>E31*0.75</f>
        <v>2.1113999999999997</v>
      </c>
      <c r="I31" s="71">
        <f>E31*1.25</f>
        <v>3.5190000000000001</v>
      </c>
      <c r="J31" s="16"/>
      <c r="K31" s="16">
        <v>1</v>
      </c>
      <c r="M31" s="17"/>
      <c r="N31" s="35"/>
      <c r="O31" s="35"/>
      <c r="P31" s="35"/>
      <c r="Q31" s="35"/>
      <c r="R31" s="18"/>
      <c r="S31" s="18"/>
    </row>
    <row r="32" spans="2:19" x14ac:dyDescent="0.15">
      <c r="B32" s="22" t="s">
        <v>41</v>
      </c>
      <c r="C32" s="122">
        <f>C30-C31</f>
        <v>2.7880000000000003</v>
      </c>
      <c r="D32" s="122">
        <f t="shared" ref="D32:E32" si="6">D30-D31</f>
        <v>2.8921487999999997</v>
      </c>
      <c r="E32" s="122">
        <f t="shared" si="6"/>
        <v>2.8151999999999999</v>
      </c>
      <c r="F32" s="71">
        <f t="shared" ref="F32" si="7">C32*0.75</f>
        <v>2.0910000000000002</v>
      </c>
      <c r="G32" s="71">
        <f t="shared" ref="G32" si="8">E32*1.25</f>
        <v>3.5190000000000001</v>
      </c>
      <c r="H32" s="71">
        <f t="shared" ref="H32" si="9">E32*0.75</f>
        <v>2.1113999999999997</v>
      </c>
      <c r="I32" s="71">
        <f t="shared" ref="I32" si="10">E32*1.25</f>
        <v>3.5190000000000001</v>
      </c>
      <c r="J32" s="16"/>
      <c r="K32" s="16">
        <v>1</v>
      </c>
      <c r="M32" s="17"/>
      <c r="N32" s="35"/>
      <c r="O32" s="35"/>
      <c r="P32" s="35"/>
      <c r="Q32" s="35"/>
      <c r="R32" s="18"/>
      <c r="S32" s="18"/>
    </row>
    <row r="33" spans="1:19" x14ac:dyDescent="0.15">
      <c r="B33" s="22" t="s">
        <v>42</v>
      </c>
      <c r="C33" s="36">
        <f>MROUND(240000*19.4/C6*1.13,100)</f>
        <v>243700</v>
      </c>
      <c r="D33" s="36">
        <f>MROUND(20.2/D6*220000*1.13,100)</f>
        <v>224800</v>
      </c>
      <c r="E33" s="36">
        <f>MROUND(190000*20.8/E6*1.13,100)</f>
        <v>193500</v>
      </c>
      <c r="F33" s="36">
        <f>MROUND(C33/1.25,100)</f>
        <v>195000</v>
      </c>
      <c r="G33" s="36">
        <f>MROUND(C33*1.25,100)</f>
        <v>304600</v>
      </c>
      <c r="H33" s="36">
        <f>MROUND(E33/1.25,100)</f>
        <v>154800</v>
      </c>
      <c r="I33" s="36">
        <f>MROUND(E33*1.25,100)</f>
        <v>241900</v>
      </c>
      <c r="J33" s="16" t="s">
        <v>32</v>
      </c>
      <c r="K33" s="16">
        <v>1</v>
      </c>
      <c r="M33" s="17"/>
      <c r="N33" s="35"/>
      <c r="O33" s="35"/>
      <c r="P33" s="35"/>
      <c r="Q33" s="35"/>
      <c r="R33" s="18"/>
      <c r="S33" s="18"/>
    </row>
    <row r="34" spans="1:19" x14ac:dyDescent="0.15">
      <c r="B34" s="22" t="s">
        <v>45</v>
      </c>
      <c r="C34" s="122">
        <f>23.7776815055224*19.4/C6*1.13</f>
        <v>24.143744316524671</v>
      </c>
      <c r="D34" s="122">
        <f>20.2/D6*22.8755702238606*1.13</f>
        <v>23.379403641667931</v>
      </c>
      <c r="E34" s="122">
        <f>22.1740910002576*20.8/E6*1.13</f>
        <v>22.582855328111247</v>
      </c>
      <c r="F34" s="71">
        <f>C34*0.75</f>
        <v>18.107808237393503</v>
      </c>
      <c r="G34" s="71">
        <f>C34*1.25</f>
        <v>30.17968039565584</v>
      </c>
      <c r="H34" s="71">
        <f>E34*0.75</f>
        <v>16.937141496083434</v>
      </c>
      <c r="I34" s="71">
        <f>E34*1.25</f>
        <v>28.22856916013906</v>
      </c>
      <c r="J34" s="16" t="s">
        <v>32</v>
      </c>
      <c r="K34" s="16">
        <v>1</v>
      </c>
      <c r="M34" s="17"/>
      <c r="N34" s="35"/>
      <c r="O34" s="35"/>
      <c r="P34" s="35"/>
      <c r="Q34" s="35"/>
      <c r="R34" s="18"/>
      <c r="S34" s="18"/>
    </row>
    <row r="35" spans="1:19" x14ac:dyDescent="0.15">
      <c r="B35" s="22" t="s">
        <v>46</v>
      </c>
      <c r="C35" s="36"/>
      <c r="D35" s="36"/>
      <c r="E35" s="36"/>
      <c r="F35" s="71"/>
      <c r="G35" s="71"/>
      <c r="H35" s="71"/>
      <c r="I35" s="71"/>
      <c r="J35" s="16"/>
      <c r="K35" s="16"/>
      <c r="M35" s="261"/>
      <c r="N35" s="261"/>
      <c r="O35" s="261"/>
      <c r="P35" s="261"/>
      <c r="Q35" s="261"/>
      <c r="R35" s="261"/>
      <c r="S35" s="261"/>
    </row>
    <row r="36" spans="1:19" x14ac:dyDescent="0.15">
      <c r="B36" s="37" t="s">
        <v>47</v>
      </c>
      <c r="C36" s="38"/>
      <c r="D36" s="38"/>
      <c r="E36" s="38"/>
      <c r="F36" s="38"/>
      <c r="G36" s="38"/>
      <c r="H36" s="38"/>
      <c r="I36" s="38"/>
      <c r="J36" s="38"/>
      <c r="K36" s="39"/>
      <c r="N36" s="18"/>
      <c r="O36" s="18"/>
      <c r="P36" s="18"/>
      <c r="Q36" s="18"/>
      <c r="R36" s="18"/>
      <c r="S36" s="18"/>
    </row>
    <row r="37" spans="1:19" ht="15" customHeight="1" x14ac:dyDescent="0.15">
      <c r="B37" s="13" t="s">
        <v>409</v>
      </c>
      <c r="C37" s="122">
        <v>27.7</v>
      </c>
      <c r="D37" s="122">
        <v>27.7</v>
      </c>
      <c r="E37" s="122">
        <v>27.7</v>
      </c>
      <c r="F37" s="122"/>
      <c r="G37" s="122"/>
      <c r="H37" s="122"/>
      <c r="I37" s="122"/>
      <c r="J37" s="16" t="s">
        <v>61</v>
      </c>
      <c r="K37" s="15"/>
      <c r="N37" s="18"/>
      <c r="O37" s="18"/>
      <c r="P37" s="18"/>
      <c r="Q37" s="18"/>
      <c r="R37" s="18"/>
      <c r="S37" s="18"/>
    </row>
    <row r="38" spans="1:19" x14ac:dyDescent="0.15">
      <c r="A38" s="3"/>
      <c r="B38" s="13"/>
      <c r="C38" s="36"/>
      <c r="D38" s="36"/>
      <c r="E38" s="36"/>
      <c r="F38" s="36"/>
      <c r="G38" s="36"/>
      <c r="H38" s="36"/>
      <c r="I38" s="36"/>
      <c r="J38" s="16"/>
      <c r="K38" s="15"/>
    </row>
    <row r="39" spans="1:19" x14ac:dyDescent="0.15">
      <c r="A39" s="3"/>
      <c r="L39" s="4"/>
    </row>
    <row r="40" spans="1:19" s="1" customFormat="1" ht="12" x14ac:dyDescent="0.15">
      <c r="A40" s="3" t="s">
        <v>50</v>
      </c>
      <c r="C40" s="40"/>
      <c r="D40" s="40"/>
      <c r="E40" s="40"/>
      <c r="F40" s="40"/>
      <c r="G40" s="40"/>
    </row>
    <row r="41" spans="1:19" x14ac:dyDescent="0.15">
      <c r="A41" s="1">
        <v>1</v>
      </c>
      <c r="B41" s="1" t="s">
        <v>410</v>
      </c>
    </row>
    <row r="42" spans="1:19" x14ac:dyDescent="0.15">
      <c r="A42" s="3" t="s">
        <v>59</v>
      </c>
    </row>
    <row r="43" spans="1:19" ht="29.25" customHeight="1" x14ac:dyDescent="0.15">
      <c r="A43" s="52" t="s">
        <v>13</v>
      </c>
      <c r="B43" s="255" t="s">
        <v>411</v>
      </c>
      <c r="C43" s="255"/>
      <c r="D43" s="255"/>
      <c r="E43" s="255"/>
      <c r="F43" s="255"/>
      <c r="G43" s="255"/>
      <c r="H43" s="255"/>
      <c r="I43" s="255"/>
      <c r="J43" s="255"/>
      <c r="K43" s="255"/>
    </row>
    <row r="44" spans="1:19" ht="38.25" customHeight="1" x14ac:dyDescent="0.15">
      <c r="A44" s="52" t="s">
        <v>61</v>
      </c>
      <c r="B44" s="255" t="s">
        <v>412</v>
      </c>
      <c r="C44" s="255"/>
      <c r="D44" s="255"/>
      <c r="E44" s="255"/>
      <c r="F44" s="255"/>
      <c r="G44" s="255"/>
      <c r="H44" s="255"/>
      <c r="I44" s="255"/>
      <c r="J44" s="255"/>
      <c r="K44" s="255"/>
    </row>
    <row r="45" spans="1:19" x14ac:dyDescent="0.15">
      <c r="A45" s="52" t="s">
        <v>32</v>
      </c>
      <c r="B45" s="53" t="s">
        <v>75</v>
      </c>
      <c r="C45" s="53"/>
      <c r="D45" s="53"/>
      <c r="E45" s="53"/>
      <c r="F45" s="53"/>
      <c r="G45" s="53"/>
      <c r="H45" s="53"/>
      <c r="I45" s="53"/>
      <c r="J45" s="53"/>
      <c r="K45" s="53"/>
    </row>
    <row r="46" spans="1:19" x14ac:dyDescent="0.15">
      <c r="A46" s="52" t="s">
        <v>64</v>
      </c>
      <c r="B46" s="53" t="s">
        <v>413</v>
      </c>
    </row>
  </sheetData>
  <mergeCells count="11">
    <mergeCell ref="N6:S6"/>
    <mergeCell ref="C3:K3"/>
    <mergeCell ref="N3:S3"/>
    <mergeCell ref="F4:G4"/>
    <mergeCell ref="H4:I4"/>
    <mergeCell ref="M5:S5"/>
    <mergeCell ref="M23:S23"/>
    <mergeCell ref="M28:S28"/>
    <mergeCell ref="M35:S35"/>
    <mergeCell ref="B43:K43"/>
    <mergeCell ref="B44:K44"/>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FF1B-1AF0-417E-A712-0A94D5E43ACC}">
  <sheetPr>
    <tabColor theme="5" tint="-0.249977111117893"/>
  </sheetPr>
  <dimension ref="A1:S47"/>
  <sheetViews>
    <sheetView zoomScale="70" zoomScaleNormal="70" zoomScaleSheetLayoutView="120" workbookViewId="0">
      <selection activeCell="T69" sqref="T69"/>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414</v>
      </c>
      <c r="D3" s="256"/>
      <c r="E3" s="256"/>
      <c r="F3" s="256"/>
      <c r="G3" s="256"/>
      <c r="H3" s="256"/>
      <c r="I3" s="256"/>
      <c r="J3" s="256"/>
      <c r="K3" s="257"/>
      <c r="M3" s="63"/>
      <c r="N3" s="267"/>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v>
      </c>
      <c r="D6" s="47">
        <v>1</v>
      </c>
      <c r="E6" s="47">
        <v>1</v>
      </c>
      <c r="F6" s="14">
        <v>0.5</v>
      </c>
      <c r="G6" s="47">
        <v>10</v>
      </c>
      <c r="H6" s="14">
        <v>0.5</v>
      </c>
      <c r="I6" s="47">
        <v>10</v>
      </c>
      <c r="J6" s="15"/>
      <c r="K6" s="16">
        <v>1</v>
      </c>
      <c r="M6" s="17"/>
      <c r="N6" s="253"/>
      <c r="O6" s="254"/>
      <c r="P6" s="254"/>
      <c r="Q6" s="254"/>
      <c r="R6" s="254"/>
      <c r="S6" s="254"/>
    </row>
    <row r="7" spans="2:19" ht="15" customHeight="1" x14ac:dyDescent="0.15">
      <c r="B7" s="13" t="s">
        <v>11</v>
      </c>
      <c r="C7" s="47">
        <v>1</v>
      </c>
      <c r="D7" s="47">
        <v>1</v>
      </c>
      <c r="E7" s="47">
        <v>1</v>
      </c>
      <c r="F7" s="14">
        <v>0.5</v>
      </c>
      <c r="G7" s="47">
        <v>10</v>
      </c>
      <c r="H7" s="14">
        <v>0.5</v>
      </c>
      <c r="I7" s="47">
        <v>10</v>
      </c>
      <c r="J7" s="15"/>
      <c r="K7" s="16">
        <v>1</v>
      </c>
      <c r="M7" s="17"/>
      <c r="N7" s="60"/>
      <c r="O7" s="61"/>
      <c r="P7" s="61"/>
      <c r="Q7" s="61"/>
      <c r="R7" s="61"/>
      <c r="S7" s="61"/>
    </row>
    <row r="8" spans="2:19" x14ac:dyDescent="0.15">
      <c r="B8" s="13" t="s">
        <v>12</v>
      </c>
      <c r="C8" s="47">
        <v>35</v>
      </c>
      <c r="D8" s="47">
        <v>35</v>
      </c>
      <c r="E8" s="47">
        <v>35</v>
      </c>
      <c r="F8" s="47">
        <v>25</v>
      </c>
      <c r="G8" s="47">
        <v>37</v>
      </c>
      <c r="H8" s="47">
        <v>25</v>
      </c>
      <c r="I8" s="47">
        <v>37</v>
      </c>
      <c r="J8" s="47"/>
      <c r="K8" s="15">
        <v>2</v>
      </c>
      <c r="M8" s="17"/>
      <c r="N8" s="18"/>
      <c r="O8" s="18"/>
      <c r="P8" s="18"/>
      <c r="Q8" s="18"/>
      <c r="R8" s="18"/>
      <c r="S8" s="18"/>
    </row>
    <row r="9" spans="2:19" x14ac:dyDescent="0.15">
      <c r="B9" s="19" t="s">
        <v>14</v>
      </c>
      <c r="C9" s="47">
        <v>34</v>
      </c>
      <c r="D9" s="47">
        <v>34</v>
      </c>
      <c r="E9" s="47">
        <v>34</v>
      </c>
      <c r="F9" s="47">
        <v>25</v>
      </c>
      <c r="G9" s="47">
        <v>37</v>
      </c>
      <c r="H9" s="47">
        <v>25</v>
      </c>
      <c r="I9" s="47">
        <v>37</v>
      </c>
      <c r="J9" s="47"/>
      <c r="K9" s="20">
        <v>2</v>
      </c>
      <c r="M9" s="17"/>
      <c r="N9" s="18"/>
      <c r="O9" s="18"/>
      <c r="P9" s="18"/>
      <c r="Q9" s="18"/>
      <c r="R9" s="18"/>
      <c r="S9" s="18"/>
    </row>
    <row r="10" spans="2:19" x14ac:dyDescent="0.15">
      <c r="B10" s="13" t="s">
        <v>15</v>
      </c>
      <c r="C10" s="47">
        <v>5</v>
      </c>
      <c r="D10" s="47">
        <v>5</v>
      </c>
      <c r="E10" s="47">
        <v>5</v>
      </c>
      <c r="F10" s="47">
        <v>2</v>
      </c>
      <c r="G10" s="47">
        <v>15</v>
      </c>
      <c r="H10" s="47">
        <v>2</v>
      </c>
      <c r="I10" s="47">
        <v>15</v>
      </c>
      <c r="J10" s="47"/>
      <c r="K10" s="15">
        <v>4</v>
      </c>
      <c r="M10" s="1"/>
      <c r="N10" s="21"/>
      <c r="O10" s="21"/>
      <c r="P10" s="21"/>
      <c r="Q10" s="21"/>
      <c r="R10" s="21"/>
      <c r="S10" s="18"/>
    </row>
    <row r="11" spans="2:19" x14ac:dyDescent="0.15">
      <c r="B11" s="22" t="s">
        <v>16</v>
      </c>
      <c r="C11" s="47">
        <v>5</v>
      </c>
      <c r="D11" s="47">
        <v>5</v>
      </c>
      <c r="E11" s="47">
        <v>5</v>
      </c>
      <c r="F11" s="47">
        <v>2</v>
      </c>
      <c r="G11" s="47">
        <v>15</v>
      </c>
      <c r="H11" s="47">
        <v>2</v>
      </c>
      <c r="I11" s="47">
        <v>15</v>
      </c>
      <c r="J11" s="47"/>
      <c r="K11" s="15">
        <v>4</v>
      </c>
      <c r="M11" s="1"/>
      <c r="N11" s="21"/>
      <c r="O11" s="21"/>
      <c r="P11" s="21"/>
      <c r="Q11" s="21"/>
      <c r="R11" s="21"/>
      <c r="S11" s="18"/>
    </row>
    <row r="12" spans="2:19" x14ac:dyDescent="0.15">
      <c r="B12" s="22" t="s">
        <v>17</v>
      </c>
      <c r="C12" s="47">
        <v>25</v>
      </c>
      <c r="D12" s="47">
        <v>25</v>
      </c>
      <c r="E12" s="47">
        <v>25</v>
      </c>
      <c r="F12" s="47">
        <v>20</v>
      </c>
      <c r="G12" s="47">
        <v>30</v>
      </c>
      <c r="H12" s="47">
        <v>20</v>
      </c>
      <c r="I12" s="47">
        <v>30</v>
      </c>
      <c r="J12" s="47"/>
      <c r="K12" s="15">
        <v>3</v>
      </c>
      <c r="M12" s="17"/>
      <c r="N12" s="18"/>
      <c r="O12" s="18"/>
      <c r="P12" s="18"/>
      <c r="Q12" s="18"/>
      <c r="R12" s="18"/>
      <c r="S12" s="18"/>
    </row>
    <row r="13" spans="2:19" x14ac:dyDescent="0.15">
      <c r="B13" s="22" t="s">
        <v>18</v>
      </c>
      <c r="C13" s="14">
        <v>1.5</v>
      </c>
      <c r="D13" s="14">
        <v>1.5</v>
      </c>
      <c r="E13" s="14">
        <v>1.5</v>
      </c>
      <c r="F13" s="47">
        <v>1</v>
      </c>
      <c r="G13" s="47">
        <v>3</v>
      </c>
      <c r="H13" s="47">
        <v>1</v>
      </c>
      <c r="I13" s="47">
        <v>3</v>
      </c>
      <c r="J13" s="47"/>
      <c r="K13" s="15">
        <v>3</v>
      </c>
      <c r="M13" s="17"/>
      <c r="N13" s="18"/>
      <c r="O13" s="18"/>
      <c r="P13" s="18"/>
      <c r="Q13" s="18"/>
      <c r="R13" s="18"/>
      <c r="S13" s="18"/>
    </row>
    <row r="14" spans="2:19" x14ac:dyDescent="0.15">
      <c r="B14" s="23" t="s">
        <v>20</v>
      </c>
      <c r="C14" s="47"/>
      <c r="D14" s="47"/>
      <c r="E14" s="47"/>
      <c r="F14" s="47"/>
      <c r="G14" s="47"/>
      <c r="H14" s="47"/>
      <c r="I14" s="47"/>
      <c r="J14" s="47"/>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t="s">
        <v>31</v>
      </c>
      <c r="G16" s="46" t="s">
        <v>31</v>
      </c>
      <c r="H16" s="46" t="s">
        <v>31</v>
      </c>
      <c r="I16" s="46" t="s">
        <v>31</v>
      </c>
      <c r="J16" s="16"/>
      <c r="K16" s="15"/>
      <c r="M16" s="17"/>
      <c r="N16" s="18"/>
      <c r="O16" s="18"/>
      <c r="P16" s="18"/>
      <c r="Q16" s="18"/>
      <c r="R16" s="18"/>
      <c r="S16" s="18"/>
    </row>
    <row r="17" spans="2:19" x14ac:dyDescent="0.15">
      <c r="B17" s="23" t="s">
        <v>23</v>
      </c>
      <c r="C17" s="46" t="s">
        <v>31</v>
      </c>
      <c r="D17" s="46" t="s">
        <v>31</v>
      </c>
      <c r="E17" s="46" t="s">
        <v>31</v>
      </c>
      <c r="F17" s="46" t="s">
        <v>31</v>
      </c>
      <c r="G17" s="46" t="s">
        <v>31</v>
      </c>
      <c r="H17" s="46" t="s">
        <v>31</v>
      </c>
      <c r="I17" s="46" t="s">
        <v>31</v>
      </c>
      <c r="J17" s="16"/>
      <c r="K17" s="15"/>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15"/>
      <c r="D19" s="15"/>
      <c r="E19" s="15"/>
      <c r="F19" s="15"/>
      <c r="G19" s="15"/>
      <c r="H19" s="15"/>
      <c r="I19" s="15"/>
      <c r="J19" s="16"/>
      <c r="K19" s="16"/>
      <c r="M19" s="17"/>
      <c r="N19" s="18"/>
      <c r="O19" s="18"/>
      <c r="P19" s="18"/>
      <c r="Q19" s="18"/>
      <c r="R19" s="18"/>
      <c r="S19" s="18"/>
    </row>
    <row r="20" spans="2:19" x14ac:dyDescent="0.15">
      <c r="B20" s="22" t="s">
        <v>26</v>
      </c>
      <c r="C20" s="15"/>
      <c r="D20" s="15"/>
      <c r="E20" s="15"/>
      <c r="F20" s="15"/>
      <c r="G20" s="15"/>
      <c r="H20" s="15"/>
      <c r="I20" s="15"/>
      <c r="J20" s="16"/>
      <c r="K20" s="16"/>
      <c r="M20" s="17"/>
      <c r="N20" s="18"/>
      <c r="O20" s="18"/>
      <c r="P20" s="18"/>
      <c r="Q20" s="18"/>
      <c r="R20" s="18"/>
      <c r="S20" s="18"/>
    </row>
    <row r="21" spans="2:19" x14ac:dyDescent="0.15">
      <c r="B21" s="22" t="s">
        <v>27</v>
      </c>
      <c r="C21" s="15"/>
      <c r="D21" s="15"/>
      <c r="E21" s="15"/>
      <c r="F21" s="15"/>
      <c r="G21" s="15"/>
      <c r="H21" s="15"/>
      <c r="I21" s="15"/>
      <c r="J21" s="16"/>
      <c r="K21" s="16"/>
      <c r="M21" s="17"/>
      <c r="N21" s="18"/>
      <c r="O21" s="18"/>
      <c r="P21" s="18"/>
      <c r="Q21" s="18"/>
      <c r="R21" s="18"/>
      <c r="S21" s="18"/>
    </row>
    <row r="22" spans="2:19" x14ac:dyDescent="0.15">
      <c r="B22" s="22" t="s">
        <v>28</v>
      </c>
      <c r="C22" s="15"/>
      <c r="D22" s="15"/>
      <c r="E22" s="15"/>
      <c r="F22" s="15"/>
      <c r="G22" s="15"/>
      <c r="H22" s="15"/>
      <c r="I22" s="15"/>
      <c r="J22" s="16"/>
      <c r="K22" s="16"/>
      <c r="M22" s="17"/>
      <c r="N22" s="18"/>
      <c r="O22" s="18"/>
      <c r="P22" s="18"/>
      <c r="Q22" s="18"/>
      <c r="R22" s="18"/>
      <c r="S22" s="18"/>
    </row>
    <row r="23" spans="2:19" x14ac:dyDescent="0.15">
      <c r="B23" s="24" t="s">
        <v>29</v>
      </c>
      <c r="C23" s="28"/>
      <c r="D23" s="28"/>
      <c r="E23" s="28"/>
      <c r="F23" s="28"/>
      <c r="G23" s="28"/>
      <c r="H23" s="28"/>
      <c r="I23" s="28"/>
      <c r="J23" s="28"/>
      <c r="K23" s="29"/>
      <c r="M23" s="261"/>
      <c r="N23" s="261"/>
      <c r="O23" s="261"/>
      <c r="P23" s="261"/>
      <c r="Q23" s="261"/>
      <c r="R23" s="261"/>
      <c r="S23" s="261"/>
    </row>
    <row r="24" spans="2:19" x14ac:dyDescent="0.15">
      <c r="B24" s="22" t="s">
        <v>285</v>
      </c>
      <c r="C24" s="235"/>
      <c r="D24" s="235"/>
      <c r="E24" s="235"/>
      <c r="F24" s="71"/>
      <c r="G24" s="71"/>
      <c r="H24" s="71"/>
      <c r="I24" s="71"/>
      <c r="J24" s="30"/>
      <c r="K24" s="16"/>
      <c r="M24" s="17"/>
      <c r="N24" s="18"/>
      <c r="O24" s="18"/>
      <c r="P24" s="18"/>
      <c r="Q24" s="18"/>
      <c r="R24" s="18"/>
      <c r="S24" s="18"/>
    </row>
    <row r="25" spans="2:19" x14ac:dyDescent="0.15">
      <c r="B25" s="22" t="s">
        <v>33</v>
      </c>
      <c r="C25" s="235"/>
      <c r="D25" s="235"/>
      <c r="E25" s="235"/>
      <c r="F25" s="71"/>
      <c r="G25" s="71"/>
      <c r="H25" s="71"/>
      <c r="I25" s="71"/>
      <c r="J25" s="30"/>
      <c r="K25" s="16"/>
      <c r="M25" s="17"/>
      <c r="N25" s="18"/>
      <c r="O25" s="18"/>
      <c r="P25" s="18"/>
      <c r="Q25" s="18"/>
      <c r="R25" s="18"/>
      <c r="S25" s="18"/>
    </row>
    <row r="26" spans="2:19" ht="15" customHeight="1" x14ac:dyDescent="0.15">
      <c r="B26" s="22" t="s">
        <v>34</v>
      </c>
      <c r="C26" s="236"/>
      <c r="D26" s="236"/>
      <c r="E26" s="236"/>
      <c r="F26" s="31"/>
      <c r="G26" s="31"/>
      <c r="H26" s="31"/>
      <c r="I26" s="31"/>
      <c r="J26" s="32"/>
      <c r="K26" s="16"/>
      <c r="M26" s="17"/>
      <c r="N26" s="18"/>
      <c r="O26" s="18"/>
      <c r="P26" s="18"/>
      <c r="Q26" s="18"/>
      <c r="R26" s="18"/>
      <c r="S26" s="18"/>
    </row>
    <row r="27" spans="2:19" x14ac:dyDescent="0.15">
      <c r="B27" s="22" t="s">
        <v>35</v>
      </c>
      <c r="C27" s="235"/>
      <c r="D27" s="235"/>
      <c r="E27" s="235"/>
      <c r="F27" s="31"/>
      <c r="G27" s="31"/>
      <c r="H27" s="31"/>
      <c r="I27" s="31"/>
      <c r="J27" s="16"/>
      <c r="K27" s="16"/>
      <c r="M27" s="17"/>
      <c r="N27" s="33"/>
      <c r="O27" s="33"/>
      <c r="P27" s="33"/>
      <c r="Q27" s="33"/>
      <c r="R27" s="18"/>
      <c r="S27" s="18"/>
    </row>
    <row r="28" spans="2:19" x14ac:dyDescent="0.15">
      <c r="B28" s="22" t="s">
        <v>36</v>
      </c>
      <c r="C28" s="235"/>
      <c r="D28" s="235"/>
      <c r="E28" s="235"/>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122">
        <v>2.5</v>
      </c>
      <c r="D30" s="122">
        <v>2.5</v>
      </c>
      <c r="E30" s="122">
        <v>2.5</v>
      </c>
      <c r="F30" s="122">
        <f>C30/1.1</f>
        <v>2.2727272727272725</v>
      </c>
      <c r="G30" s="122">
        <f>C30*1.1</f>
        <v>2.75</v>
      </c>
      <c r="H30" s="122">
        <f>E30/1.1</f>
        <v>2.2727272727272725</v>
      </c>
      <c r="I30" s="122">
        <f>E30*1.15</f>
        <v>2.875</v>
      </c>
      <c r="J30" s="30" t="s">
        <v>13</v>
      </c>
      <c r="K30" s="16">
        <v>3</v>
      </c>
      <c r="M30" s="17"/>
      <c r="N30" s="35"/>
      <c r="O30" s="35"/>
      <c r="P30" s="35"/>
      <c r="Q30" s="35"/>
      <c r="R30" s="18"/>
      <c r="S30" s="18"/>
    </row>
    <row r="31" spans="2:19" x14ac:dyDescent="0.15">
      <c r="B31" s="22" t="s">
        <v>40</v>
      </c>
      <c r="C31" s="122">
        <f>1.8/C30</f>
        <v>0.72</v>
      </c>
      <c r="D31" s="122">
        <f t="shared" ref="D31:E31" si="0">1.8/D30</f>
        <v>0.72</v>
      </c>
      <c r="E31" s="122">
        <f t="shared" si="0"/>
        <v>0.72</v>
      </c>
      <c r="F31" s="122">
        <f t="shared" ref="F31:F32" si="1">C31/1.1</f>
        <v>0.65454545454545443</v>
      </c>
      <c r="G31" s="122">
        <f t="shared" ref="G31:G33" si="2">C31*1.1</f>
        <v>0.79200000000000004</v>
      </c>
      <c r="H31" s="122">
        <f t="shared" ref="H31:H33" si="3">E31/1.1</f>
        <v>0.65454545454545443</v>
      </c>
      <c r="I31" s="122">
        <f t="shared" ref="I31:I33" si="4">E31*1.15</f>
        <v>0.82799999999999996</v>
      </c>
      <c r="J31" s="16"/>
      <c r="K31" s="16">
        <v>5</v>
      </c>
      <c r="M31" s="17"/>
      <c r="N31" s="35"/>
      <c r="O31" s="35"/>
      <c r="P31" s="35"/>
      <c r="Q31" s="35"/>
      <c r="R31" s="18"/>
      <c r="S31" s="18"/>
    </row>
    <row r="32" spans="2:19" x14ac:dyDescent="0.15">
      <c r="B32" s="22" t="s">
        <v>41</v>
      </c>
      <c r="C32" s="122">
        <f>1-C31</f>
        <v>0.28000000000000003</v>
      </c>
      <c r="D32" s="122">
        <f t="shared" ref="D32:E32" si="5">1-D31</f>
        <v>0.28000000000000003</v>
      </c>
      <c r="E32" s="122">
        <f t="shared" si="5"/>
        <v>0.28000000000000003</v>
      </c>
      <c r="F32" s="122">
        <f t="shared" si="1"/>
        <v>0.25454545454545457</v>
      </c>
      <c r="G32" s="122">
        <f t="shared" si="2"/>
        <v>0.30800000000000005</v>
      </c>
      <c r="H32" s="122">
        <f t="shared" si="3"/>
        <v>0.25454545454545457</v>
      </c>
      <c r="I32" s="122">
        <f t="shared" si="4"/>
        <v>0.32200000000000001</v>
      </c>
      <c r="J32" s="16"/>
      <c r="K32" s="16">
        <v>5</v>
      </c>
      <c r="M32" s="17"/>
      <c r="N32" s="35"/>
      <c r="O32" s="35"/>
      <c r="P32" s="35"/>
      <c r="Q32" s="35"/>
      <c r="R32" s="18"/>
      <c r="S32" s="18"/>
    </row>
    <row r="33" spans="1:19" x14ac:dyDescent="0.15">
      <c r="B33" s="22" t="s">
        <v>42</v>
      </c>
      <c r="C33" s="36">
        <v>125000</v>
      </c>
      <c r="D33" s="36">
        <v>125000</v>
      </c>
      <c r="E33" s="36">
        <v>125000</v>
      </c>
      <c r="F33" s="36">
        <f>MROUND(C33/1.1,10)</f>
        <v>113640</v>
      </c>
      <c r="G33" s="36">
        <f t="shared" si="2"/>
        <v>137500</v>
      </c>
      <c r="H33" s="36">
        <f t="shared" si="3"/>
        <v>113636.36363636363</v>
      </c>
      <c r="I33" s="36">
        <f t="shared" si="4"/>
        <v>143750</v>
      </c>
      <c r="J33" s="16" t="s">
        <v>13</v>
      </c>
      <c r="K33" s="16">
        <v>3</v>
      </c>
      <c r="M33" s="17"/>
      <c r="N33" s="35"/>
      <c r="O33" s="35"/>
      <c r="P33" s="35"/>
      <c r="Q33" s="35"/>
      <c r="R33" s="18"/>
      <c r="S33" s="18"/>
    </row>
    <row r="34" spans="1:19" x14ac:dyDescent="0.15">
      <c r="B34" s="22" t="s">
        <v>45</v>
      </c>
      <c r="C34" s="122">
        <v>13.5</v>
      </c>
      <c r="D34" s="122">
        <v>13.5</v>
      </c>
      <c r="E34" s="122">
        <v>13.5</v>
      </c>
      <c r="F34" s="71">
        <f>C34*0.75</f>
        <v>10.125</v>
      </c>
      <c r="G34" s="71">
        <f>C34*1.25</f>
        <v>16.875</v>
      </c>
      <c r="H34" s="71">
        <f>E34*0.75</f>
        <v>10.125</v>
      </c>
      <c r="I34" s="71">
        <f>E34*1.25</f>
        <v>16.875</v>
      </c>
      <c r="J34" s="16"/>
      <c r="K34" s="16"/>
      <c r="M34" s="17"/>
      <c r="N34" s="35"/>
      <c r="O34" s="35"/>
      <c r="P34" s="35"/>
      <c r="Q34" s="35"/>
      <c r="R34" s="18"/>
      <c r="S34" s="18"/>
    </row>
    <row r="35" spans="1:19" x14ac:dyDescent="0.15">
      <c r="B35" s="22" t="s">
        <v>46</v>
      </c>
      <c r="C35" s="36"/>
      <c r="D35" s="36"/>
      <c r="E35" s="36"/>
      <c r="F35" s="36"/>
      <c r="G35" s="36"/>
      <c r="H35" s="36"/>
      <c r="I35" s="36"/>
      <c r="J35" s="16"/>
      <c r="K35" s="16"/>
      <c r="M35" s="261"/>
      <c r="N35" s="261"/>
      <c r="O35" s="261"/>
      <c r="P35" s="261"/>
      <c r="Q35" s="261"/>
      <c r="R35" s="261"/>
      <c r="S35" s="261"/>
    </row>
    <row r="36" spans="1:19" x14ac:dyDescent="0.15">
      <c r="B36" s="37" t="s">
        <v>47</v>
      </c>
      <c r="C36" s="38"/>
      <c r="D36" s="38"/>
      <c r="E36" s="38"/>
      <c r="F36" s="38"/>
      <c r="G36" s="38"/>
      <c r="H36" s="38"/>
      <c r="I36" s="38"/>
      <c r="J36" s="38"/>
      <c r="K36" s="39"/>
      <c r="N36" s="18"/>
      <c r="O36" s="18"/>
      <c r="P36" s="18"/>
      <c r="Q36" s="18"/>
      <c r="R36" s="18"/>
      <c r="S36" s="18"/>
    </row>
    <row r="37" spans="1:19" ht="15" customHeight="1" x14ac:dyDescent="0.15">
      <c r="B37" s="13"/>
      <c r="C37" s="122"/>
      <c r="D37" s="122"/>
      <c r="E37" s="122"/>
      <c r="F37" s="122"/>
      <c r="G37" s="122"/>
      <c r="H37" s="122"/>
      <c r="I37" s="122"/>
      <c r="J37" s="16"/>
      <c r="K37" s="15"/>
      <c r="N37" s="18"/>
      <c r="O37" s="18"/>
      <c r="P37" s="18"/>
      <c r="Q37" s="18"/>
      <c r="R37" s="18"/>
      <c r="S37" s="18"/>
    </row>
    <row r="38" spans="1:19" x14ac:dyDescent="0.15">
      <c r="A38" s="3"/>
      <c r="L38" s="4"/>
    </row>
    <row r="39" spans="1:19" s="1" customFormat="1" ht="12" x14ac:dyDescent="0.15">
      <c r="A39" s="3" t="s">
        <v>50</v>
      </c>
      <c r="C39" s="40"/>
      <c r="D39" s="40"/>
      <c r="E39" s="40"/>
      <c r="F39" s="40"/>
      <c r="G39" s="40"/>
    </row>
    <row r="40" spans="1:19" x14ac:dyDescent="0.15">
      <c r="A40" s="1">
        <v>1</v>
      </c>
      <c r="B40" s="1" t="s">
        <v>415</v>
      </c>
    </row>
    <row r="41" spans="1:19" x14ac:dyDescent="0.15">
      <c r="A41" s="1">
        <v>2</v>
      </c>
      <c r="B41" s="1" t="s">
        <v>416</v>
      </c>
    </row>
    <row r="42" spans="1:19" x14ac:dyDescent="0.15">
      <c r="A42" s="1">
        <v>3</v>
      </c>
      <c r="B42" s="1" t="s">
        <v>417</v>
      </c>
    </row>
    <row r="43" spans="1:19" x14ac:dyDescent="0.15">
      <c r="A43" s="1">
        <v>4</v>
      </c>
      <c r="B43" s="1" t="s">
        <v>51</v>
      </c>
    </row>
    <row r="44" spans="1:19" x14ac:dyDescent="0.15">
      <c r="A44" s="1">
        <v>5</v>
      </c>
      <c r="B44" s="1" t="s">
        <v>418</v>
      </c>
    </row>
    <row r="45" spans="1:19" x14ac:dyDescent="0.15">
      <c r="A45" s="3" t="s">
        <v>59</v>
      </c>
    </row>
    <row r="46" spans="1:19" x14ac:dyDescent="0.15">
      <c r="A46" s="52" t="s">
        <v>13</v>
      </c>
      <c r="B46" s="255" t="s">
        <v>419</v>
      </c>
      <c r="C46" s="255"/>
      <c r="D46" s="255"/>
      <c r="E46" s="255"/>
      <c r="F46" s="255"/>
      <c r="G46" s="255"/>
      <c r="H46" s="255"/>
      <c r="I46" s="255"/>
      <c r="J46" s="255"/>
      <c r="K46" s="255"/>
    </row>
    <row r="47" spans="1:19" x14ac:dyDescent="0.15">
      <c r="A47" s="52"/>
      <c r="B47" s="255"/>
      <c r="C47" s="255"/>
      <c r="D47" s="255"/>
      <c r="E47" s="255"/>
      <c r="F47" s="255"/>
      <c r="G47" s="255"/>
      <c r="H47" s="255"/>
      <c r="I47" s="255"/>
      <c r="J47" s="255"/>
      <c r="K47" s="255"/>
    </row>
  </sheetData>
  <mergeCells count="11">
    <mergeCell ref="N6:S6"/>
    <mergeCell ref="C3:K3"/>
    <mergeCell ref="N3:S3"/>
    <mergeCell ref="F4:G4"/>
    <mergeCell ref="H4:I4"/>
    <mergeCell ref="M5:S5"/>
    <mergeCell ref="M23:S23"/>
    <mergeCell ref="M28:S28"/>
    <mergeCell ref="M35:S35"/>
    <mergeCell ref="B46:K46"/>
    <mergeCell ref="B47:K47"/>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C26A-F5B3-4EB1-B432-6C8DDE522E40}">
  <sheetPr>
    <tabColor theme="1"/>
  </sheetPr>
  <dimension ref="A1:S54"/>
  <sheetViews>
    <sheetView zoomScale="70" zoomScaleNormal="70" zoomScaleSheetLayoutView="120" workbookViewId="0">
      <selection activeCell="X70" sqref="X70"/>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6.6640625" style="1" customWidth="1"/>
    <col min="13" max="13" width="30.1640625" style="4" customWidth="1"/>
    <col min="14" max="14" width="10.33203125" style="4" customWidth="1"/>
    <col min="15" max="15" width="9.6640625" style="4" customWidth="1"/>
    <col min="16" max="16" width="10" style="4" customWidth="1"/>
    <col min="17" max="17" width="7.83203125" style="4" customWidth="1"/>
    <col min="18" max="18" width="7.1640625" style="4" customWidth="1"/>
    <col min="19" max="19" width="7.6640625" style="4" customWidth="1"/>
    <col min="20" max="16384" width="9.1640625" style="4"/>
  </cols>
  <sheetData>
    <row r="1" spans="2:19" ht="20" x14ac:dyDescent="0.2">
      <c r="B1" s="2" t="s">
        <v>0</v>
      </c>
    </row>
    <row r="3" spans="2:19" ht="15" customHeight="1" x14ac:dyDescent="0.15">
      <c r="B3" s="5" t="s">
        <v>1</v>
      </c>
      <c r="C3" s="256" t="s">
        <v>376</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20</v>
      </c>
      <c r="D6" s="47">
        <v>20</v>
      </c>
      <c r="E6" s="47">
        <v>20</v>
      </c>
      <c r="F6" s="14"/>
      <c r="G6" s="14"/>
      <c r="H6" s="14"/>
      <c r="I6" s="14"/>
      <c r="J6" s="15"/>
      <c r="K6" s="50">
        <v>1</v>
      </c>
      <c r="M6" s="17"/>
      <c r="N6" s="253"/>
      <c r="O6" s="254"/>
      <c r="P6" s="254"/>
      <c r="Q6" s="254"/>
      <c r="R6" s="254"/>
      <c r="S6" s="254"/>
    </row>
    <row r="7" spans="2:19" ht="15" customHeight="1" x14ac:dyDescent="0.15">
      <c r="B7" s="13" t="s">
        <v>11</v>
      </c>
      <c r="C7" s="47">
        <v>100</v>
      </c>
      <c r="D7" s="47">
        <v>100</v>
      </c>
      <c r="E7" s="47">
        <v>100</v>
      </c>
      <c r="F7" s="47"/>
      <c r="G7" s="47"/>
      <c r="H7" s="47"/>
      <c r="I7" s="47"/>
      <c r="J7" s="15"/>
      <c r="K7" s="50"/>
      <c r="M7" s="17"/>
      <c r="N7" s="60"/>
      <c r="O7" s="61"/>
      <c r="P7" s="61"/>
      <c r="Q7" s="61"/>
      <c r="R7" s="61"/>
      <c r="S7" s="61"/>
    </row>
    <row r="8" spans="2:19" x14ac:dyDescent="0.15">
      <c r="B8" s="13" t="s">
        <v>12</v>
      </c>
      <c r="C8" s="47">
        <v>46</v>
      </c>
      <c r="D8" s="47">
        <v>47</v>
      </c>
      <c r="E8" s="47">
        <v>48</v>
      </c>
      <c r="F8" s="47"/>
      <c r="G8" s="47"/>
      <c r="H8" s="47"/>
      <c r="I8" s="47"/>
      <c r="J8" s="15"/>
      <c r="K8" s="46">
        <v>1</v>
      </c>
      <c r="M8" s="17"/>
      <c r="N8" s="18"/>
      <c r="O8" s="18"/>
      <c r="P8" s="18"/>
      <c r="Q8" s="18"/>
      <c r="R8" s="18"/>
      <c r="S8" s="18"/>
    </row>
    <row r="9" spans="2:19" x14ac:dyDescent="0.15">
      <c r="B9" s="19" t="s">
        <v>14</v>
      </c>
      <c r="C9" s="47">
        <v>45</v>
      </c>
      <c r="D9" s="47">
        <v>46</v>
      </c>
      <c r="E9" s="47">
        <v>47</v>
      </c>
      <c r="F9" s="47">
        <v>43</v>
      </c>
      <c r="G9" s="47">
        <v>47</v>
      </c>
      <c r="H9" s="47">
        <v>45</v>
      </c>
      <c r="I9" s="47">
        <v>52</v>
      </c>
      <c r="J9" s="20"/>
      <c r="K9" s="66">
        <v>1</v>
      </c>
      <c r="M9" s="17"/>
      <c r="N9" s="18"/>
      <c r="O9" s="18"/>
      <c r="P9" s="18"/>
      <c r="Q9" s="18"/>
      <c r="R9" s="18"/>
      <c r="S9" s="18"/>
    </row>
    <row r="10" spans="2:19" x14ac:dyDescent="0.15">
      <c r="B10" s="13" t="s">
        <v>15</v>
      </c>
      <c r="C10" s="47">
        <v>3</v>
      </c>
      <c r="D10" s="47">
        <v>3</v>
      </c>
      <c r="E10" s="47">
        <v>3</v>
      </c>
      <c r="F10" s="47"/>
      <c r="G10" s="47"/>
      <c r="H10" s="47"/>
      <c r="I10" s="47"/>
      <c r="J10" s="15"/>
      <c r="K10" s="50"/>
      <c r="M10" s="1"/>
      <c r="N10" s="21"/>
      <c r="O10" s="21"/>
      <c r="P10" s="21"/>
      <c r="Q10" s="21"/>
      <c r="R10" s="21"/>
      <c r="S10" s="18"/>
    </row>
    <row r="11" spans="2:19" x14ac:dyDescent="0.15">
      <c r="B11" s="22" t="s">
        <v>16</v>
      </c>
      <c r="C11" s="47">
        <v>0.8</v>
      </c>
      <c r="D11" s="47">
        <v>1</v>
      </c>
      <c r="E11" s="47">
        <v>1</v>
      </c>
      <c r="F11" s="47"/>
      <c r="G11" s="47"/>
      <c r="H11" s="47"/>
      <c r="I11" s="47"/>
      <c r="J11" s="15"/>
      <c r="K11" s="50">
        <v>2</v>
      </c>
      <c r="L11" s="1" t="s">
        <v>377</v>
      </c>
      <c r="M11" s="1"/>
      <c r="N11" s="21"/>
      <c r="O11" s="21"/>
      <c r="P11" s="21"/>
      <c r="Q11" s="21"/>
      <c r="R11" s="21"/>
      <c r="S11" s="18"/>
    </row>
    <row r="12" spans="2:19" x14ac:dyDescent="0.15">
      <c r="B12" s="22" t="s">
        <v>17</v>
      </c>
      <c r="C12" s="47">
        <v>25</v>
      </c>
      <c r="D12" s="47">
        <v>25</v>
      </c>
      <c r="E12" s="47">
        <v>25</v>
      </c>
      <c r="F12" s="47"/>
      <c r="G12" s="47"/>
      <c r="H12" s="47"/>
      <c r="I12" s="47"/>
      <c r="J12" s="15"/>
      <c r="K12" s="50">
        <v>2</v>
      </c>
      <c r="L12" s="1" t="s">
        <v>377</v>
      </c>
      <c r="M12" s="17"/>
      <c r="N12" s="18"/>
      <c r="O12" s="18"/>
      <c r="P12" s="18"/>
      <c r="Q12" s="18"/>
      <c r="R12" s="18"/>
      <c r="S12" s="18"/>
    </row>
    <row r="13" spans="2:19" x14ac:dyDescent="0.15">
      <c r="B13" s="22" t="s">
        <v>18</v>
      </c>
      <c r="C13" s="14">
        <v>1</v>
      </c>
      <c r="D13" s="14">
        <v>1</v>
      </c>
      <c r="E13" s="14">
        <v>1</v>
      </c>
      <c r="F13" s="15"/>
      <c r="G13" s="15"/>
      <c r="H13" s="15"/>
      <c r="I13" s="47"/>
      <c r="J13" s="15"/>
      <c r="K13" s="50">
        <v>2</v>
      </c>
      <c r="L13" s="1" t="s">
        <v>377</v>
      </c>
      <c r="M13" s="17"/>
      <c r="N13" s="18"/>
      <c r="O13" s="18"/>
      <c r="P13" s="18"/>
      <c r="Q13" s="18"/>
      <c r="R13" s="18"/>
      <c r="S13" s="18"/>
    </row>
    <row r="14" spans="2:19" x14ac:dyDescent="0.15">
      <c r="B14" s="23" t="s">
        <v>20</v>
      </c>
      <c r="C14" s="49">
        <v>0.05</v>
      </c>
      <c r="D14" s="49">
        <v>0.05</v>
      </c>
      <c r="E14" s="49">
        <v>0.05</v>
      </c>
      <c r="F14" s="46"/>
      <c r="G14" s="46"/>
      <c r="H14" s="46"/>
      <c r="I14" s="46"/>
      <c r="J14" s="16"/>
      <c r="K14" s="15">
        <v>2</v>
      </c>
      <c r="L14" s="1" t="s">
        <v>377</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t="s">
        <v>31</v>
      </c>
      <c r="D16" s="46" t="s">
        <v>31</v>
      </c>
      <c r="E16" s="46" t="s">
        <v>31</v>
      </c>
      <c r="F16" s="46"/>
      <c r="G16" s="46"/>
      <c r="H16" s="46"/>
      <c r="I16" s="46"/>
      <c r="J16" s="16"/>
      <c r="K16" s="46"/>
      <c r="M16" s="17"/>
      <c r="N16" s="18"/>
      <c r="O16" s="18"/>
      <c r="P16" s="18"/>
      <c r="Q16" s="18"/>
      <c r="R16" s="18"/>
      <c r="S16" s="18"/>
    </row>
    <row r="17" spans="2:19" x14ac:dyDescent="0.15">
      <c r="B17" s="23" t="s">
        <v>23</v>
      </c>
      <c r="C17" s="46" t="s">
        <v>31</v>
      </c>
      <c r="D17" s="46" t="s">
        <v>31</v>
      </c>
      <c r="E17" s="46" t="s">
        <v>31</v>
      </c>
      <c r="F17" s="46"/>
      <c r="G17" s="46"/>
      <c r="H17" s="46"/>
      <c r="I17" s="46"/>
      <c r="J17" s="16"/>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25</v>
      </c>
      <c r="D19" s="47">
        <v>25</v>
      </c>
      <c r="E19" s="47">
        <v>25</v>
      </c>
      <c r="F19" s="47"/>
      <c r="G19" s="47"/>
      <c r="H19" s="47"/>
      <c r="I19" s="46"/>
      <c r="J19" s="16"/>
      <c r="K19" s="50"/>
      <c r="L19" s="3"/>
      <c r="M19" s="17"/>
      <c r="N19" s="18"/>
      <c r="O19" s="18"/>
      <c r="P19" s="18"/>
      <c r="Q19" s="18"/>
      <c r="R19" s="18"/>
      <c r="S19" s="18"/>
    </row>
    <row r="20" spans="2:19" x14ac:dyDescent="0.15">
      <c r="B20" s="22" t="s">
        <v>26</v>
      </c>
      <c r="C20" s="14">
        <v>6</v>
      </c>
      <c r="D20" s="14">
        <v>6</v>
      </c>
      <c r="E20" s="14">
        <v>6</v>
      </c>
      <c r="F20" s="47"/>
      <c r="G20" s="47"/>
      <c r="H20" s="47"/>
      <c r="I20" s="46"/>
      <c r="J20" s="16" t="s">
        <v>13</v>
      </c>
      <c r="K20" s="50">
        <v>1</v>
      </c>
      <c r="M20" s="17"/>
      <c r="N20" s="18"/>
      <c r="O20" s="18"/>
      <c r="P20" s="18"/>
      <c r="Q20" s="18"/>
      <c r="R20" s="18"/>
      <c r="S20" s="18"/>
    </row>
    <row r="21" spans="2:19" x14ac:dyDescent="0.15">
      <c r="B21" s="22" t="s">
        <v>27</v>
      </c>
      <c r="C21" s="47" t="s">
        <v>378</v>
      </c>
      <c r="D21" s="47" t="s">
        <v>378</v>
      </c>
      <c r="E21" s="47" t="s">
        <v>378</v>
      </c>
      <c r="F21" s="47"/>
      <c r="G21" s="47"/>
      <c r="H21" s="47"/>
      <c r="I21" s="46"/>
      <c r="J21" s="16"/>
      <c r="K21" s="50">
        <v>1</v>
      </c>
      <c r="M21" s="17"/>
      <c r="N21" s="18"/>
      <c r="O21" s="18"/>
      <c r="P21" s="18"/>
      <c r="Q21" s="18"/>
      <c r="R21" s="18"/>
      <c r="S21" s="18"/>
    </row>
    <row r="22" spans="2:19" x14ac:dyDescent="0.15">
      <c r="B22" s="22" t="s">
        <v>28</v>
      </c>
      <c r="C22" s="47" t="s">
        <v>379</v>
      </c>
      <c r="D22" s="47" t="s">
        <v>379</v>
      </c>
      <c r="E22" s="47" t="s">
        <v>379</v>
      </c>
      <c r="F22" s="47"/>
      <c r="G22" s="47"/>
      <c r="H22" s="47"/>
      <c r="I22" s="46"/>
      <c r="J22" s="16"/>
      <c r="K22" s="50" t="s">
        <v>377</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f>(20+120)/2*0.28</f>
        <v>19.600000000000001</v>
      </c>
      <c r="D24" s="31">
        <f t="shared" ref="D24:E24" si="0">(20+120)/2*0.28</f>
        <v>19.600000000000001</v>
      </c>
      <c r="E24" s="31">
        <f t="shared" si="0"/>
        <v>19.600000000000001</v>
      </c>
      <c r="F24" s="31"/>
      <c r="G24" s="31"/>
      <c r="H24" s="31"/>
      <c r="I24" s="31"/>
      <c r="J24" s="30" t="s">
        <v>380</v>
      </c>
      <c r="K24" s="50">
        <v>3.4</v>
      </c>
      <c r="M24" s="17"/>
      <c r="N24" s="18"/>
      <c r="O24" s="18"/>
      <c r="P24" s="18"/>
      <c r="Q24" s="18"/>
      <c r="R24" s="18"/>
      <c r="S24" s="18"/>
    </row>
    <row r="25" spans="2:19" x14ac:dyDescent="0.15">
      <c r="B25" s="22" t="s">
        <v>33</v>
      </c>
      <c r="C25" s="31">
        <v>0</v>
      </c>
      <c r="D25" s="31">
        <v>0</v>
      </c>
      <c r="E25" s="31">
        <v>0</v>
      </c>
      <c r="F25" s="31"/>
      <c r="G25" s="31"/>
      <c r="H25" s="31"/>
      <c r="I25" s="31"/>
      <c r="J25" s="30" t="s">
        <v>32</v>
      </c>
      <c r="K25" s="50" t="s">
        <v>381</v>
      </c>
      <c r="M25" s="17"/>
      <c r="N25" s="18"/>
      <c r="O25" s="18"/>
      <c r="P25" s="18"/>
      <c r="Q25" s="18"/>
      <c r="R25" s="18"/>
      <c r="S25" s="18"/>
    </row>
    <row r="26" spans="2:19" x14ac:dyDescent="0.15">
      <c r="B26" s="22" t="s">
        <v>382</v>
      </c>
      <c r="C26" s="31">
        <f>(800)*0.28</f>
        <v>224.00000000000003</v>
      </c>
      <c r="D26" s="31">
        <f>(800)*0.28</f>
        <v>224.00000000000003</v>
      </c>
      <c r="E26" s="31">
        <f>(800)*0.28</f>
        <v>224.00000000000003</v>
      </c>
      <c r="F26" s="31"/>
      <c r="G26" s="31"/>
      <c r="H26" s="31"/>
      <c r="I26" s="31"/>
      <c r="J26" s="30" t="s">
        <v>32</v>
      </c>
      <c r="K26" s="50">
        <v>3.4</v>
      </c>
      <c r="M26" s="17"/>
      <c r="N26" s="18"/>
      <c r="O26" s="18"/>
      <c r="P26" s="18"/>
      <c r="Q26" s="18"/>
      <c r="R26" s="18"/>
      <c r="S26" s="18"/>
    </row>
    <row r="27" spans="2:19" ht="15" customHeight="1" x14ac:dyDescent="0.15">
      <c r="B27" s="22" t="s">
        <v>34</v>
      </c>
      <c r="C27" s="31">
        <f>1000*0.28</f>
        <v>280</v>
      </c>
      <c r="D27" s="31">
        <f t="shared" ref="D27:E27" si="1">1000*0.28</f>
        <v>280</v>
      </c>
      <c r="E27" s="31">
        <f t="shared" si="1"/>
        <v>280</v>
      </c>
      <c r="F27" s="31"/>
      <c r="G27" s="31"/>
      <c r="H27" s="31"/>
      <c r="I27" s="31"/>
      <c r="J27" s="32" t="s">
        <v>32</v>
      </c>
      <c r="K27" s="50">
        <v>3.4</v>
      </c>
      <c r="M27" s="17"/>
      <c r="N27" s="18"/>
      <c r="O27" s="18"/>
      <c r="P27" s="18"/>
      <c r="Q27" s="18"/>
      <c r="R27" s="18"/>
      <c r="S27" s="18"/>
    </row>
    <row r="28" spans="2:19" x14ac:dyDescent="0.15">
      <c r="B28" s="22" t="s">
        <v>35</v>
      </c>
      <c r="C28" s="31"/>
      <c r="D28" s="31"/>
      <c r="E28" s="31"/>
      <c r="F28" s="31"/>
      <c r="G28" s="31"/>
      <c r="H28" s="31"/>
      <c r="I28" s="31"/>
      <c r="J28" s="16"/>
      <c r="K28" s="16"/>
      <c r="M28" s="17"/>
      <c r="N28" s="33"/>
      <c r="O28" s="33"/>
      <c r="P28" s="33"/>
      <c r="Q28" s="33"/>
      <c r="R28" s="18"/>
      <c r="S28" s="18"/>
    </row>
    <row r="29" spans="2:19" x14ac:dyDescent="0.15">
      <c r="B29" s="22" t="s">
        <v>36</v>
      </c>
      <c r="C29" s="31"/>
      <c r="D29" s="31"/>
      <c r="E29" s="31"/>
      <c r="F29" s="31"/>
      <c r="G29" s="31"/>
      <c r="H29" s="31"/>
      <c r="I29" s="31"/>
      <c r="J29" s="16"/>
      <c r="K29" s="16"/>
      <c r="L29" s="34"/>
      <c r="M29" s="261"/>
      <c r="N29" s="261"/>
      <c r="O29" s="261"/>
      <c r="P29" s="261"/>
      <c r="Q29" s="261"/>
      <c r="R29" s="261"/>
      <c r="S29" s="261"/>
    </row>
    <row r="30" spans="2:19" x14ac:dyDescent="0.15">
      <c r="B30" s="24" t="s">
        <v>37</v>
      </c>
      <c r="C30" s="28"/>
      <c r="D30" s="28"/>
      <c r="E30" s="28"/>
      <c r="F30" s="28"/>
      <c r="G30" s="28"/>
      <c r="H30" s="28"/>
      <c r="I30" s="28"/>
      <c r="J30" s="28"/>
      <c r="K30" s="29"/>
      <c r="M30" s="17"/>
      <c r="N30" s="18"/>
      <c r="O30" s="18"/>
      <c r="P30" s="18"/>
      <c r="Q30" s="18"/>
      <c r="R30" s="18"/>
      <c r="S30" s="18"/>
    </row>
    <row r="31" spans="2:19" x14ac:dyDescent="0.15">
      <c r="B31" s="22" t="s">
        <v>38</v>
      </c>
      <c r="C31" s="49">
        <v>0.8</v>
      </c>
      <c r="D31" s="49">
        <v>0.8</v>
      </c>
      <c r="E31" s="51">
        <f>D31*0.97</f>
        <v>0.77600000000000002</v>
      </c>
      <c r="F31" s="49">
        <v>0.7</v>
      </c>
      <c r="G31" s="49">
        <v>0.9</v>
      </c>
      <c r="H31" s="49">
        <v>0.65</v>
      </c>
      <c r="I31" s="51">
        <v>0.85</v>
      </c>
      <c r="J31" s="16" t="s">
        <v>64</v>
      </c>
      <c r="K31" s="50">
        <v>6.7</v>
      </c>
      <c r="M31" s="17"/>
      <c r="N31" s="35"/>
      <c r="O31" s="35"/>
      <c r="P31" s="35"/>
      <c r="Q31" s="35"/>
      <c r="R31" s="18"/>
      <c r="S31" s="18"/>
    </row>
    <row r="32" spans="2:19" x14ac:dyDescent="0.15">
      <c r="B32" s="22" t="s">
        <v>40</v>
      </c>
      <c r="C32" s="122"/>
      <c r="D32" s="122"/>
      <c r="E32" s="122"/>
      <c r="F32" s="122"/>
      <c r="G32" s="122"/>
      <c r="H32" s="122"/>
      <c r="I32" s="122"/>
      <c r="J32" s="16"/>
      <c r="K32" s="16"/>
      <c r="M32" s="17"/>
      <c r="N32" s="35"/>
      <c r="O32" s="35"/>
      <c r="P32" s="35"/>
      <c r="Q32" s="35"/>
      <c r="R32" s="18"/>
      <c r="S32" s="18"/>
    </row>
    <row r="33" spans="1:19" x14ac:dyDescent="0.15">
      <c r="B33" s="22" t="s">
        <v>41</v>
      </c>
      <c r="C33" s="122"/>
      <c r="D33" s="122"/>
      <c r="E33" s="122"/>
      <c r="F33" s="122"/>
      <c r="G33" s="122"/>
      <c r="H33" s="122"/>
      <c r="I33" s="122"/>
      <c r="J33" s="16"/>
      <c r="K33" s="16"/>
      <c r="M33" s="17"/>
      <c r="N33" s="35"/>
      <c r="O33" s="35"/>
      <c r="P33" s="35"/>
      <c r="Q33" s="35"/>
      <c r="R33" s="18"/>
      <c r="S33" s="18"/>
    </row>
    <row r="34" spans="1:19" x14ac:dyDescent="0.15">
      <c r="B34" s="22" t="s">
        <v>42</v>
      </c>
      <c r="C34" s="48">
        <f>C31*1%*1000000</f>
        <v>8000</v>
      </c>
      <c r="D34" s="48">
        <f t="shared" ref="D34:E34" si="2">D31*1%*1000000</f>
        <v>8000</v>
      </c>
      <c r="E34" s="48">
        <f t="shared" si="2"/>
        <v>7760</v>
      </c>
      <c r="F34" s="48"/>
      <c r="G34" s="48"/>
      <c r="H34" s="36"/>
      <c r="I34" s="36"/>
      <c r="J34" s="16"/>
      <c r="K34" s="50">
        <v>2</v>
      </c>
      <c r="M34" s="17"/>
      <c r="N34" s="35"/>
      <c r="O34" s="35"/>
      <c r="P34" s="35"/>
      <c r="Q34" s="35"/>
      <c r="R34" s="18"/>
      <c r="S34" s="18"/>
    </row>
    <row r="35" spans="1:19" x14ac:dyDescent="0.15">
      <c r="B35" s="22" t="s">
        <v>45</v>
      </c>
      <c r="C35" s="14">
        <v>6.4</v>
      </c>
      <c r="D35" s="14">
        <v>6</v>
      </c>
      <c r="E35" s="14">
        <v>5.8</v>
      </c>
      <c r="F35" s="47"/>
      <c r="G35" s="47"/>
      <c r="H35" s="47"/>
      <c r="I35" s="36"/>
      <c r="J35" s="16"/>
      <c r="K35" s="50">
        <v>2</v>
      </c>
      <c r="M35" s="17"/>
      <c r="N35" s="35"/>
      <c r="O35" s="35"/>
      <c r="P35" s="35"/>
      <c r="Q35" s="35"/>
      <c r="R35" s="18"/>
      <c r="S35" s="18"/>
    </row>
    <row r="36" spans="1:19" x14ac:dyDescent="0.15">
      <c r="B36" s="22" t="s">
        <v>46</v>
      </c>
      <c r="C36" s="47" t="s">
        <v>31</v>
      </c>
      <c r="D36" s="47" t="s">
        <v>31</v>
      </c>
      <c r="E36" s="47" t="s">
        <v>31</v>
      </c>
      <c r="F36" s="47"/>
      <c r="G36" s="47"/>
      <c r="H36" s="47"/>
      <c r="I36" s="36"/>
      <c r="J36" s="16"/>
      <c r="K36" s="50"/>
      <c r="M36" s="261"/>
      <c r="N36" s="261"/>
      <c r="O36" s="261"/>
      <c r="P36" s="261"/>
      <c r="Q36" s="261"/>
      <c r="R36" s="261"/>
      <c r="S36" s="261"/>
    </row>
    <row r="37" spans="1:19" x14ac:dyDescent="0.15">
      <c r="A37" s="3"/>
      <c r="L37" s="4"/>
    </row>
    <row r="38" spans="1:19" s="1" customFormat="1" ht="12" x14ac:dyDescent="0.15">
      <c r="A38" s="3" t="s">
        <v>50</v>
      </c>
      <c r="C38" s="40"/>
      <c r="D38" s="40"/>
      <c r="E38" s="40"/>
      <c r="F38" s="40"/>
      <c r="G38" s="40"/>
    </row>
    <row r="39" spans="1:19" x14ac:dyDescent="0.15">
      <c r="A39" s="53">
        <v>1</v>
      </c>
      <c r="B39" s="53" t="s">
        <v>383</v>
      </c>
    </row>
    <row r="40" spans="1:19" x14ac:dyDescent="0.15">
      <c r="A40" s="53">
        <v>2</v>
      </c>
      <c r="B40" s="53" t="s">
        <v>384</v>
      </c>
    </row>
    <row r="41" spans="1:19" x14ac:dyDescent="0.15">
      <c r="A41" s="53">
        <v>3</v>
      </c>
      <c r="B41" s="53" t="s">
        <v>385</v>
      </c>
    </row>
    <row r="42" spans="1:19" x14ac:dyDescent="0.15">
      <c r="A42" s="53">
        <v>4</v>
      </c>
      <c r="B42" s="53" t="s">
        <v>386</v>
      </c>
    </row>
    <row r="43" spans="1:19" x14ac:dyDescent="0.15">
      <c r="A43" s="53">
        <v>5</v>
      </c>
      <c r="B43" s="53" t="s">
        <v>387</v>
      </c>
    </row>
    <row r="44" spans="1:19" x14ac:dyDescent="0.15">
      <c r="A44" s="53">
        <v>6</v>
      </c>
      <c r="B44" s="53" t="s">
        <v>388</v>
      </c>
    </row>
    <row r="45" spans="1:19" x14ac:dyDescent="0.15">
      <c r="A45" s="53">
        <v>7</v>
      </c>
      <c r="B45" s="53" t="s">
        <v>51</v>
      </c>
    </row>
    <row r="46" spans="1:19" x14ac:dyDescent="0.15">
      <c r="A46" s="3" t="s">
        <v>59</v>
      </c>
    </row>
    <row r="47" spans="1:19" x14ac:dyDescent="0.15">
      <c r="A47" s="52" t="s">
        <v>13</v>
      </c>
      <c r="B47" s="53" t="s">
        <v>389</v>
      </c>
      <c r="C47" s="53"/>
      <c r="D47" s="53"/>
      <c r="E47" s="53"/>
      <c r="F47" s="53"/>
      <c r="G47" s="53"/>
      <c r="H47" s="53"/>
      <c r="I47" s="53"/>
      <c r="J47" s="53"/>
      <c r="K47" s="53"/>
    </row>
    <row r="48" spans="1:19" ht="13.5" customHeight="1" x14ac:dyDescent="0.15">
      <c r="A48" s="52" t="s">
        <v>61</v>
      </c>
      <c r="B48" s="53" t="s">
        <v>390</v>
      </c>
      <c r="C48" s="53"/>
      <c r="D48" s="53"/>
      <c r="E48" s="53"/>
      <c r="F48" s="53"/>
      <c r="G48" s="53"/>
      <c r="H48" s="53"/>
      <c r="I48" s="53"/>
      <c r="J48" s="53"/>
      <c r="K48" s="53"/>
    </row>
    <row r="49" spans="1:11" ht="25.5" customHeight="1" x14ac:dyDescent="0.15">
      <c r="A49" s="52" t="s">
        <v>32</v>
      </c>
      <c r="B49" s="255" t="s">
        <v>391</v>
      </c>
      <c r="C49" s="255"/>
      <c r="D49" s="255"/>
      <c r="E49" s="255"/>
      <c r="F49" s="255"/>
      <c r="G49" s="255"/>
      <c r="H49" s="255"/>
      <c r="I49" s="255"/>
      <c r="J49" s="255"/>
      <c r="K49" s="255"/>
    </row>
    <row r="50" spans="1:11" x14ac:dyDescent="0.15">
      <c r="A50" s="52" t="s">
        <v>64</v>
      </c>
      <c r="B50" s="53" t="s">
        <v>76</v>
      </c>
      <c r="C50" s="53"/>
      <c r="D50" s="53"/>
      <c r="E50" s="53"/>
      <c r="F50" s="53"/>
      <c r="G50" s="53"/>
      <c r="H50" s="53"/>
      <c r="I50" s="53"/>
      <c r="J50" s="53"/>
      <c r="K50" s="53"/>
    </row>
    <row r="51" spans="1:11" x14ac:dyDescent="0.15">
      <c r="A51" s="52"/>
      <c r="C51" s="53"/>
      <c r="D51" s="53"/>
      <c r="E51" s="53"/>
      <c r="F51" s="53"/>
      <c r="G51" s="53"/>
      <c r="H51" s="53"/>
      <c r="I51" s="53"/>
      <c r="J51" s="53"/>
      <c r="K51" s="53"/>
    </row>
    <row r="52" spans="1:11" x14ac:dyDescent="0.15">
      <c r="A52" s="52"/>
      <c r="B52" s="53"/>
      <c r="C52" s="53"/>
      <c r="D52" s="53"/>
      <c r="E52" s="53"/>
      <c r="F52" s="53"/>
      <c r="G52" s="53"/>
      <c r="H52" s="53"/>
      <c r="I52" s="53"/>
      <c r="J52" s="53"/>
      <c r="K52" s="53"/>
    </row>
    <row r="53" spans="1:11" x14ac:dyDescent="0.15">
      <c r="A53" s="41"/>
    </row>
    <row r="54" spans="1:11" x14ac:dyDescent="0.15">
      <c r="A54" s="41"/>
    </row>
  </sheetData>
  <mergeCells count="10">
    <mergeCell ref="M23:S23"/>
    <mergeCell ref="M29:S29"/>
    <mergeCell ref="M36:S36"/>
    <mergeCell ref="B49:K49"/>
    <mergeCell ref="C3:K3"/>
    <mergeCell ref="N3:S3"/>
    <mergeCell ref="F4:G4"/>
    <mergeCell ref="H4:I4"/>
    <mergeCell ref="M5:S5"/>
    <mergeCell ref="N6:S6"/>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9B52-C97F-4D09-9764-E37A0A344E2B}">
  <sheetPr>
    <tabColor theme="4"/>
  </sheetPr>
  <dimension ref="A1:S61"/>
  <sheetViews>
    <sheetView zoomScale="85" zoomScaleNormal="85" zoomScaleSheetLayoutView="120" workbookViewId="0">
      <selection activeCell="M53" sqref="M53"/>
    </sheetView>
  </sheetViews>
  <sheetFormatPr baseColWidth="10" defaultColWidth="9.1640625" defaultRowHeight="14" x14ac:dyDescent="0.15"/>
  <cols>
    <col min="1" max="1" width="3" style="1" customWidth="1"/>
    <col min="2" max="2" width="35.1640625" style="1" customWidth="1"/>
    <col min="3" max="5" width="10.83203125" style="1" bestFit="1" customWidth="1"/>
    <col min="6" max="9" width="9.5" style="1" customWidth="1"/>
    <col min="10" max="10" width="6.5" style="1" customWidth="1"/>
    <col min="11" max="11" width="8.5" style="1" customWidth="1"/>
    <col min="12" max="12" width="6.83203125" style="1" customWidth="1"/>
    <col min="13" max="13" width="30.1640625" style="4" customWidth="1"/>
    <col min="14" max="14" width="10.1640625" style="4" customWidth="1"/>
    <col min="15" max="15" width="9.83203125" style="4" customWidth="1"/>
    <col min="16" max="16" width="10" style="4" customWidth="1"/>
    <col min="17" max="17" width="7.83203125" style="4" customWidth="1"/>
    <col min="18" max="18" width="7.1640625" style="4" customWidth="1"/>
    <col min="19" max="19" width="7.83203125" style="4" customWidth="1"/>
    <col min="20" max="16384" width="9.1640625" style="4"/>
  </cols>
  <sheetData>
    <row r="1" spans="2:19" ht="20" x14ac:dyDescent="0.2">
      <c r="B1" s="2" t="s">
        <v>0</v>
      </c>
    </row>
    <row r="3" spans="2:19" ht="15" customHeight="1" x14ac:dyDescent="0.15">
      <c r="B3" s="5" t="s">
        <v>1</v>
      </c>
      <c r="C3" s="256" t="s">
        <v>81</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150</v>
      </c>
      <c r="D6" s="47">
        <v>150</v>
      </c>
      <c r="E6" s="47">
        <v>150</v>
      </c>
      <c r="F6" s="47">
        <v>100</v>
      </c>
      <c r="G6" s="47">
        <v>2000</v>
      </c>
      <c r="H6" s="47">
        <v>100</v>
      </c>
      <c r="I6" s="47">
        <v>2000</v>
      </c>
      <c r="J6" s="15"/>
      <c r="K6" s="50" t="s">
        <v>82</v>
      </c>
      <c r="M6" s="17"/>
      <c r="N6" s="253"/>
      <c r="O6" s="254"/>
      <c r="P6" s="254"/>
      <c r="Q6" s="254"/>
      <c r="R6" s="254"/>
      <c r="S6" s="254"/>
    </row>
    <row r="7" spans="2:19" ht="15" customHeight="1" x14ac:dyDescent="0.15">
      <c r="B7" s="13" t="s">
        <v>11</v>
      </c>
      <c r="C7" s="47">
        <v>150</v>
      </c>
      <c r="D7" s="47">
        <v>150</v>
      </c>
      <c r="E7" s="47">
        <v>150</v>
      </c>
      <c r="F7" s="47">
        <v>100</v>
      </c>
      <c r="G7" s="47">
        <v>2000</v>
      </c>
      <c r="H7" s="47">
        <v>100</v>
      </c>
      <c r="I7" s="47">
        <v>2000</v>
      </c>
      <c r="J7" s="15"/>
      <c r="K7" s="50" t="s">
        <v>82</v>
      </c>
      <c r="M7" s="17"/>
      <c r="N7" s="60"/>
      <c r="O7" s="61"/>
      <c r="P7" s="61"/>
      <c r="Q7" s="61"/>
      <c r="R7" s="61"/>
      <c r="S7" s="61"/>
    </row>
    <row r="8" spans="2:19" x14ac:dyDescent="0.15">
      <c r="B8" s="13" t="s">
        <v>12</v>
      </c>
      <c r="C8" s="47">
        <v>95</v>
      </c>
      <c r="D8" s="47">
        <v>95</v>
      </c>
      <c r="E8" s="47">
        <v>95</v>
      </c>
      <c r="F8" s="47">
        <v>85</v>
      </c>
      <c r="G8" s="47">
        <v>97</v>
      </c>
      <c r="H8" s="47">
        <v>85</v>
      </c>
      <c r="I8" s="47">
        <v>97</v>
      </c>
      <c r="J8" s="15" t="s">
        <v>13</v>
      </c>
      <c r="K8" s="46">
        <v>7</v>
      </c>
      <c r="M8" s="17"/>
      <c r="N8" s="18"/>
      <c r="O8" s="18"/>
      <c r="P8" s="18"/>
      <c r="Q8" s="18"/>
      <c r="R8" s="18"/>
      <c r="S8" s="18"/>
    </row>
    <row r="9" spans="2:19" x14ac:dyDescent="0.15">
      <c r="B9" s="19" t="s">
        <v>14</v>
      </c>
      <c r="C9" s="47">
        <v>95</v>
      </c>
      <c r="D9" s="47">
        <v>95</v>
      </c>
      <c r="E9" s="47">
        <v>95</v>
      </c>
      <c r="F9" s="47">
        <v>85</v>
      </c>
      <c r="G9" s="47">
        <v>97</v>
      </c>
      <c r="H9" s="47">
        <v>85</v>
      </c>
      <c r="I9" s="47">
        <v>97</v>
      </c>
      <c r="J9" s="20" t="s">
        <v>13</v>
      </c>
      <c r="K9" s="66">
        <v>7</v>
      </c>
      <c r="M9" s="17"/>
      <c r="N9" s="18"/>
      <c r="O9" s="18"/>
      <c r="P9" s="18"/>
      <c r="Q9" s="18"/>
      <c r="R9" s="18"/>
      <c r="S9" s="18"/>
    </row>
    <row r="10" spans="2:19" x14ac:dyDescent="0.15">
      <c r="B10" s="13" t="s">
        <v>15</v>
      </c>
      <c r="C10" s="47">
        <v>4</v>
      </c>
      <c r="D10" s="47">
        <v>4</v>
      </c>
      <c r="E10" s="47">
        <v>4</v>
      </c>
      <c r="F10" s="47">
        <v>2</v>
      </c>
      <c r="G10" s="47">
        <v>10</v>
      </c>
      <c r="H10" s="47">
        <v>2</v>
      </c>
      <c r="I10" s="47">
        <v>10</v>
      </c>
      <c r="J10" s="15"/>
      <c r="K10" s="50">
        <v>1</v>
      </c>
      <c r="M10" s="1"/>
      <c r="N10" s="21"/>
      <c r="O10" s="21"/>
      <c r="P10" s="21"/>
      <c r="Q10" s="21"/>
      <c r="R10" s="21"/>
      <c r="S10" s="18"/>
    </row>
    <row r="11" spans="2:19" x14ac:dyDescent="0.15">
      <c r="B11" s="22" t="s">
        <v>16</v>
      </c>
      <c r="C11" s="47">
        <v>6</v>
      </c>
      <c r="D11" s="47">
        <v>6</v>
      </c>
      <c r="E11" s="47">
        <v>6</v>
      </c>
      <c r="F11" s="47">
        <v>3</v>
      </c>
      <c r="G11" s="47">
        <v>10</v>
      </c>
      <c r="H11" s="47">
        <v>3</v>
      </c>
      <c r="I11" s="47">
        <v>10</v>
      </c>
      <c r="J11" s="15"/>
      <c r="K11" s="50">
        <v>1</v>
      </c>
      <c r="M11" s="1"/>
      <c r="N11" s="21"/>
      <c r="O11" s="21"/>
      <c r="P11" s="21"/>
      <c r="Q11" s="21"/>
      <c r="R11" s="21"/>
      <c r="S11" s="18"/>
    </row>
    <row r="12" spans="2:19" x14ac:dyDescent="0.15">
      <c r="B12" s="22" t="s">
        <v>17</v>
      </c>
      <c r="C12" s="47">
        <v>50</v>
      </c>
      <c r="D12" s="47">
        <v>50</v>
      </c>
      <c r="E12" s="47">
        <v>50</v>
      </c>
      <c r="F12" s="47">
        <v>40</v>
      </c>
      <c r="G12" s="47">
        <v>90</v>
      </c>
      <c r="H12" s="47">
        <v>40</v>
      </c>
      <c r="I12" s="47">
        <v>90</v>
      </c>
      <c r="J12" s="15" t="s">
        <v>61</v>
      </c>
      <c r="K12" s="50">
        <v>1</v>
      </c>
      <c r="M12" s="17"/>
      <c r="N12" s="18"/>
      <c r="O12" s="18"/>
      <c r="P12" s="18"/>
      <c r="Q12" s="18"/>
      <c r="R12" s="18"/>
      <c r="S12" s="18"/>
    </row>
    <row r="13" spans="2:19" x14ac:dyDescent="0.15">
      <c r="B13" s="22" t="s">
        <v>18</v>
      </c>
      <c r="C13" s="47">
        <v>4</v>
      </c>
      <c r="D13" s="47">
        <v>4</v>
      </c>
      <c r="E13" s="47">
        <v>4</v>
      </c>
      <c r="F13" s="15">
        <v>2</v>
      </c>
      <c r="G13" s="15">
        <v>6</v>
      </c>
      <c r="H13" s="15">
        <v>2</v>
      </c>
      <c r="I13" s="15">
        <v>6</v>
      </c>
      <c r="J13" s="15"/>
      <c r="K13" s="50">
        <v>1</v>
      </c>
      <c r="M13" s="17"/>
      <c r="N13" s="18"/>
      <c r="O13" s="18"/>
      <c r="P13" s="18"/>
      <c r="Q13" s="18"/>
      <c r="R13" s="18"/>
      <c r="S13" s="18"/>
    </row>
    <row r="14" spans="2:19" x14ac:dyDescent="0.15">
      <c r="B14" s="23" t="s">
        <v>20</v>
      </c>
      <c r="C14" s="47">
        <v>62</v>
      </c>
      <c r="D14" s="47">
        <v>62</v>
      </c>
      <c r="E14" s="47">
        <v>62</v>
      </c>
      <c r="F14" s="67">
        <f>C14*0.75</f>
        <v>46.5</v>
      </c>
      <c r="G14" s="67">
        <f>C14*1.25</f>
        <v>77.5</v>
      </c>
      <c r="H14" s="67">
        <f>E14*0.75</f>
        <v>46.5</v>
      </c>
      <c r="I14" s="67">
        <f>E14*1.25</f>
        <v>77.5</v>
      </c>
      <c r="J14" s="16" t="s">
        <v>32</v>
      </c>
      <c r="K14" s="15">
        <v>1</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40</v>
      </c>
      <c r="D16" s="46">
        <v>40</v>
      </c>
      <c r="E16" s="46">
        <v>40</v>
      </c>
      <c r="F16" s="46">
        <v>20</v>
      </c>
      <c r="G16" s="46">
        <v>95</v>
      </c>
      <c r="H16" s="46">
        <v>20</v>
      </c>
      <c r="I16" s="46">
        <v>95</v>
      </c>
      <c r="J16" s="16"/>
      <c r="K16" s="46" t="s">
        <v>83</v>
      </c>
      <c r="M16" s="17"/>
      <c r="N16" s="18"/>
      <c r="O16" s="18"/>
      <c r="P16" s="18"/>
      <c r="Q16" s="18"/>
      <c r="R16" s="18"/>
      <c r="S16" s="18"/>
    </row>
    <row r="17" spans="2:19" x14ac:dyDescent="0.15">
      <c r="B17" s="23" t="s">
        <v>23</v>
      </c>
      <c r="C17" s="67">
        <f>C16-C10-C11/52</f>
        <v>35.884615384615387</v>
      </c>
      <c r="D17" s="67">
        <f t="shared" ref="D17:E17" si="0">D16-D10-D11/52</f>
        <v>35.884615384615387</v>
      </c>
      <c r="E17" s="67">
        <f t="shared" si="0"/>
        <v>35.884615384615387</v>
      </c>
      <c r="F17" s="46">
        <v>20</v>
      </c>
      <c r="G17" s="46">
        <v>95</v>
      </c>
      <c r="H17" s="46">
        <v>20</v>
      </c>
      <c r="I17" s="46">
        <v>95</v>
      </c>
      <c r="J17" s="16"/>
      <c r="K17" s="46" t="s">
        <v>83</v>
      </c>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50</v>
      </c>
      <c r="D19" s="47">
        <v>50</v>
      </c>
      <c r="E19" s="47">
        <v>50</v>
      </c>
      <c r="F19" s="47">
        <v>30</v>
      </c>
      <c r="G19" s="47">
        <v>100</v>
      </c>
      <c r="H19" s="47">
        <v>30</v>
      </c>
      <c r="I19" s="68">
        <v>100</v>
      </c>
      <c r="J19" s="16"/>
      <c r="K19" s="50">
        <v>3</v>
      </c>
      <c r="L19" s="3"/>
      <c r="M19" s="17"/>
      <c r="N19" s="18"/>
      <c r="O19" s="18"/>
      <c r="P19" s="18"/>
      <c r="Q19" s="18"/>
      <c r="R19" s="18"/>
      <c r="S19" s="18"/>
    </row>
    <row r="20" spans="2:19" x14ac:dyDescent="0.15">
      <c r="B20" s="22" t="s">
        <v>26</v>
      </c>
      <c r="C20" s="47">
        <v>0</v>
      </c>
      <c r="D20" s="47">
        <v>0</v>
      </c>
      <c r="E20" s="47">
        <v>0</v>
      </c>
      <c r="F20" s="47">
        <v>0</v>
      </c>
      <c r="G20" s="47">
        <v>0</v>
      </c>
      <c r="H20" s="47">
        <v>0</v>
      </c>
      <c r="I20" s="46">
        <v>0</v>
      </c>
      <c r="J20" s="16"/>
      <c r="K20" s="50">
        <v>3</v>
      </c>
      <c r="M20" s="17"/>
      <c r="N20" s="18"/>
      <c r="O20" s="18"/>
      <c r="P20" s="18"/>
      <c r="Q20" s="18"/>
      <c r="R20" s="18"/>
      <c r="S20" s="18"/>
    </row>
    <row r="21" spans="2:19" x14ac:dyDescent="0.15">
      <c r="B21" s="22" t="s">
        <v>27</v>
      </c>
      <c r="C21" s="14">
        <v>0.1</v>
      </c>
      <c r="D21" s="14">
        <v>0.1</v>
      </c>
      <c r="E21" s="14">
        <v>0.1</v>
      </c>
      <c r="F21" s="14">
        <v>0</v>
      </c>
      <c r="G21" s="14">
        <v>0.3</v>
      </c>
      <c r="H21" s="14">
        <v>0</v>
      </c>
      <c r="I21" s="69">
        <v>0.3</v>
      </c>
      <c r="J21" s="16"/>
      <c r="K21" s="50">
        <v>3</v>
      </c>
      <c r="M21" s="17"/>
      <c r="N21" s="18"/>
      <c r="O21" s="18"/>
      <c r="P21" s="18"/>
      <c r="Q21" s="18"/>
      <c r="R21" s="18"/>
      <c r="S21" s="18"/>
    </row>
    <row r="22" spans="2:19" x14ac:dyDescent="0.15">
      <c r="B22" s="22" t="s">
        <v>28</v>
      </c>
      <c r="C22" s="14">
        <v>0.1</v>
      </c>
      <c r="D22" s="14">
        <v>0.1</v>
      </c>
      <c r="E22" s="14">
        <v>0.1</v>
      </c>
      <c r="F22" s="14">
        <v>0</v>
      </c>
      <c r="G22" s="14">
        <v>0.3</v>
      </c>
      <c r="H22" s="14">
        <v>0</v>
      </c>
      <c r="I22" s="69">
        <v>0.3</v>
      </c>
      <c r="J22" s="16"/>
      <c r="K22" s="50">
        <v>3</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2.08</v>
      </c>
      <c r="D30" s="64">
        <f>C30*0.96</f>
        <v>1.9967999999999999</v>
      </c>
      <c r="E30" s="64">
        <f>C30*0.89</f>
        <v>1.8512000000000002</v>
      </c>
      <c r="F30" s="64">
        <v>1.65</v>
      </c>
      <c r="G30" s="64">
        <v>2.25</v>
      </c>
      <c r="H30" s="64">
        <v>1.4</v>
      </c>
      <c r="I30" s="64">
        <v>2.0499999999999998</v>
      </c>
      <c r="J30" s="16" t="s">
        <v>84</v>
      </c>
      <c r="K30" s="50" t="s">
        <v>85</v>
      </c>
      <c r="M30" s="17"/>
      <c r="N30" s="35"/>
      <c r="O30" s="35"/>
      <c r="P30" s="35"/>
      <c r="Q30" s="35"/>
      <c r="R30" s="18"/>
      <c r="S30" s="18"/>
    </row>
    <row r="31" spans="2:19" x14ac:dyDescent="0.15">
      <c r="B31" s="22" t="s">
        <v>40</v>
      </c>
      <c r="C31" s="56">
        <v>0.3</v>
      </c>
      <c r="D31" s="56">
        <v>0.3</v>
      </c>
      <c r="E31" s="56">
        <v>0.3</v>
      </c>
      <c r="F31" s="56">
        <v>0.2</v>
      </c>
      <c r="G31" s="56">
        <v>0.5</v>
      </c>
      <c r="H31" s="56">
        <v>0.2</v>
      </c>
      <c r="I31" s="56">
        <v>0.5</v>
      </c>
      <c r="J31" s="16"/>
      <c r="K31" s="16">
        <v>11</v>
      </c>
      <c r="M31" s="17"/>
      <c r="N31" s="35"/>
      <c r="O31" s="35"/>
      <c r="P31" s="35"/>
      <c r="Q31" s="35"/>
      <c r="R31" s="18"/>
      <c r="S31" s="18"/>
    </row>
    <row r="32" spans="2:19" x14ac:dyDescent="0.15">
      <c r="B32" s="22" t="s">
        <v>41</v>
      </c>
      <c r="C32" s="56">
        <v>0.7</v>
      </c>
      <c r="D32" s="56">
        <v>0.7</v>
      </c>
      <c r="E32" s="56">
        <v>0.7</v>
      </c>
      <c r="F32" s="56">
        <v>0.5</v>
      </c>
      <c r="G32" s="56">
        <v>0.8</v>
      </c>
      <c r="H32" s="56">
        <v>0.5</v>
      </c>
      <c r="I32" s="56">
        <v>0.8</v>
      </c>
      <c r="J32" s="16"/>
      <c r="K32" s="16">
        <v>11</v>
      </c>
      <c r="M32" s="17"/>
      <c r="N32" s="35"/>
      <c r="O32" s="35"/>
      <c r="P32" s="35"/>
      <c r="Q32" s="35"/>
      <c r="R32" s="18"/>
      <c r="S32" s="18"/>
    </row>
    <row r="33" spans="1:19" x14ac:dyDescent="0.15">
      <c r="B33" s="22" t="s">
        <v>42</v>
      </c>
      <c r="C33" s="48">
        <v>37700</v>
      </c>
      <c r="D33" s="48">
        <f>MROUND(C33*0.96,100)</f>
        <v>36200</v>
      </c>
      <c r="E33" s="48">
        <f>MROUND(C33*0.89,100)</f>
        <v>33600</v>
      </c>
      <c r="F33" s="36">
        <f>MROUND(C33*0.75,100)</f>
        <v>28300</v>
      </c>
      <c r="G33" s="36">
        <f>MROUND(C33*1.25,100)</f>
        <v>47100</v>
      </c>
      <c r="H33" s="36">
        <f>MROUND(E33*0.75,100)</f>
        <v>25200</v>
      </c>
      <c r="I33" s="36">
        <f>MROUND(E33*1.25,100)</f>
        <v>42000</v>
      </c>
      <c r="J33" s="16" t="s">
        <v>32</v>
      </c>
      <c r="K33" s="50" t="s">
        <v>86</v>
      </c>
      <c r="M33" s="17"/>
      <c r="N33" s="35"/>
      <c r="O33" s="35"/>
      <c r="P33" s="35"/>
      <c r="Q33" s="35"/>
      <c r="R33" s="18"/>
      <c r="S33" s="18"/>
    </row>
    <row r="34" spans="1:19" x14ac:dyDescent="0.15">
      <c r="B34" s="22" t="s">
        <v>45</v>
      </c>
      <c r="C34" s="49">
        <v>0.65</v>
      </c>
      <c r="D34" s="64">
        <f>C34*0.96</f>
        <v>0.624</v>
      </c>
      <c r="E34" s="64">
        <f>C34*0.89</f>
        <v>0.57850000000000001</v>
      </c>
      <c r="F34" s="70">
        <f>C34*0.75</f>
        <v>0.48750000000000004</v>
      </c>
      <c r="G34" s="70">
        <f>C34*1.25</f>
        <v>0.8125</v>
      </c>
      <c r="H34" s="70">
        <f>E34*0.75</f>
        <v>0.43387500000000001</v>
      </c>
      <c r="I34" s="70">
        <f>E34*1.25</f>
        <v>0.72312500000000002</v>
      </c>
      <c r="J34" s="16" t="s">
        <v>32</v>
      </c>
      <c r="K34" s="50" t="s">
        <v>19</v>
      </c>
      <c r="M34" s="17"/>
      <c r="N34" s="35"/>
      <c r="O34" s="35"/>
      <c r="P34" s="35"/>
      <c r="Q34" s="35"/>
      <c r="R34" s="18"/>
      <c r="S34" s="18"/>
    </row>
    <row r="35" spans="1:19" x14ac:dyDescent="0.15">
      <c r="B35" s="22" t="s">
        <v>46</v>
      </c>
      <c r="C35" s="47" t="s">
        <v>31</v>
      </c>
      <c r="D35" s="47" t="s">
        <v>31</v>
      </c>
      <c r="E35" s="47" t="s">
        <v>31</v>
      </c>
      <c r="F35" s="47" t="s">
        <v>31</v>
      </c>
      <c r="G35" s="47" t="s">
        <v>31</v>
      </c>
      <c r="H35" s="47" t="s">
        <v>31</v>
      </c>
      <c r="I35" s="36" t="s">
        <v>31</v>
      </c>
      <c r="J35" s="16"/>
      <c r="K35" s="50"/>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c r="C38" s="53"/>
      <c r="D38" s="53"/>
      <c r="E38" s="53"/>
      <c r="F38" s="53"/>
      <c r="G38" s="53"/>
      <c r="H38" s="53"/>
      <c r="I38" s="53"/>
      <c r="J38" s="53"/>
      <c r="K38" s="53"/>
    </row>
    <row r="39" spans="1:19" x14ac:dyDescent="0.15">
      <c r="A39" s="53">
        <v>2</v>
      </c>
      <c r="B39" s="53" t="s">
        <v>87</v>
      </c>
      <c r="C39" s="53"/>
      <c r="D39" s="53"/>
      <c r="E39" s="53"/>
      <c r="F39" s="53"/>
      <c r="G39" s="53"/>
      <c r="H39" s="53"/>
      <c r="I39" s="53"/>
      <c r="J39" s="53"/>
      <c r="K39" s="53"/>
    </row>
    <row r="40" spans="1:19" x14ac:dyDescent="0.15">
      <c r="A40" s="53">
        <v>3</v>
      </c>
      <c r="B40" s="53" t="s">
        <v>88</v>
      </c>
      <c r="C40" s="53"/>
      <c r="D40" s="53"/>
      <c r="E40" s="53"/>
      <c r="F40" s="53"/>
      <c r="G40" s="53"/>
      <c r="H40" s="53"/>
      <c r="I40" s="53"/>
      <c r="J40" s="53"/>
      <c r="K40" s="53"/>
      <c r="M40" s="53"/>
    </row>
    <row r="41" spans="1:19" x14ac:dyDescent="0.15">
      <c r="A41" s="53">
        <v>4</v>
      </c>
      <c r="B41" s="53" t="s">
        <v>52</v>
      </c>
      <c r="C41" s="53"/>
      <c r="D41" s="53"/>
      <c r="E41" s="53"/>
      <c r="F41" s="53"/>
      <c r="G41" s="53"/>
      <c r="H41" s="53"/>
      <c r="I41" s="53"/>
      <c r="J41" s="53"/>
      <c r="K41" s="53"/>
    </row>
    <row r="42" spans="1:19" x14ac:dyDescent="0.15">
      <c r="A42" s="53">
        <v>5</v>
      </c>
      <c r="B42" s="53" t="s">
        <v>54</v>
      </c>
      <c r="C42" s="53"/>
      <c r="D42" s="53"/>
      <c r="E42" s="53"/>
      <c r="F42" s="53"/>
      <c r="G42" s="53"/>
      <c r="H42" s="53"/>
      <c r="I42" s="53"/>
      <c r="J42" s="53"/>
      <c r="K42" s="53"/>
    </row>
    <row r="43" spans="1:19" x14ac:dyDescent="0.15">
      <c r="A43" s="53">
        <v>6</v>
      </c>
      <c r="B43" s="53" t="s">
        <v>89</v>
      </c>
      <c r="C43" s="53"/>
      <c r="D43" s="53"/>
      <c r="E43" s="53"/>
      <c r="F43" s="53"/>
      <c r="G43" s="53"/>
      <c r="H43" s="53"/>
      <c r="I43" s="53"/>
      <c r="J43" s="53"/>
      <c r="K43" s="53"/>
    </row>
    <row r="44" spans="1:19" x14ac:dyDescent="0.15">
      <c r="A44" s="53">
        <v>7</v>
      </c>
      <c r="B44" s="53" t="s">
        <v>90</v>
      </c>
      <c r="C44" s="53"/>
      <c r="D44" s="53"/>
      <c r="E44" s="53"/>
      <c r="F44" s="53"/>
      <c r="G44" s="53"/>
      <c r="H44" s="53"/>
      <c r="I44" s="53"/>
      <c r="J44" s="53"/>
      <c r="K44" s="53"/>
    </row>
    <row r="45" spans="1:19" ht="24.75" customHeight="1" x14ac:dyDescent="0.15">
      <c r="A45" s="53">
        <v>8</v>
      </c>
      <c r="B45" s="255" t="s">
        <v>91</v>
      </c>
      <c r="C45" s="255"/>
      <c r="D45" s="255"/>
      <c r="E45" s="255"/>
      <c r="F45" s="255"/>
      <c r="G45" s="255"/>
      <c r="H45" s="255"/>
      <c r="I45" s="255"/>
      <c r="J45" s="255"/>
      <c r="K45" s="255"/>
    </row>
    <row r="46" spans="1:19" x14ac:dyDescent="0.15">
      <c r="A46" s="53">
        <v>9</v>
      </c>
      <c r="B46" s="53" t="s">
        <v>92</v>
      </c>
      <c r="C46" s="53"/>
      <c r="D46" s="53"/>
      <c r="E46" s="53"/>
      <c r="F46" s="53"/>
      <c r="G46" s="53"/>
      <c r="H46" s="53"/>
      <c r="I46" s="53"/>
      <c r="J46" s="53"/>
      <c r="K46" s="53"/>
    </row>
    <row r="47" spans="1:19" x14ac:dyDescent="0.15">
      <c r="A47" s="53">
        <v>10</v>
      </c>
      <c r="B47" s="53" t="s">
        <v>93</v>
      </c>
      <c r="C47" s="53"/>
      <c r="D47" s="53"/>
      <c r="E47" s="53"/>
      <c r="F47" s="53"/>
      <c r="G47" s="53"/>
      <c r="H47" s="53"/>
      <c r="I47" s="53"/>
      <c r="J47" s="53"/>
      <c r="K47" s="53"/>
    </row>
    <row r="48" spans="1:19" x14ac:dyDescent="0.15">
      <c r="A48" s="53">
        <v>11</v>
      </c>
      <c r="B48" s="53" t="s">
        <v>94</v>
      </c>
      <c r="C48" s="53"/>
      <c r="D48" s="53"/>
      <c r="E48" s="53"/>
      <c r="F48" s="53"/>
      <c r="G48" s="53"/>
      <c r="H48" s="53"/>
      <c r="I48" s="53"/>
      <c r="J48" s="53"/>
      <c r="K48" s="53"/>
    </row>
    <row r="49" spans="1:11" x14ac:dyDescent="0.15">
      <c r="A49" s="53">
        <v>12</v>
      </c>
      <c r="B49" s="53" t="s">
        <v>95</v>
      </c>
      <c r="C49" s="53"/>
      <c r="D49" s="53"/>
      <c r="E49" s="53"/>
      <c r="F49" s="53"/>
      <c r="G49" s="53"/>
      <c r="H49" s="53"/>
      <c r="I49" s="53"/>
      <c r="J49" s="53"/>
      <c r="K49" s="53"/>
    </row>
    <row r="50" spans="1:11" x14ac:dyDescent="0.15">
      <c r="A50" s="3" t="s">
        <v>59</v>
      </c>
    </row>
    <row r="51" spans="1:11" x14ac:dyDescent="0.15">
      <c r="A51" s="52" t="s">
        <v>13</v>
      </c>
      <c r="B51" s="53" t="s">
        <v>96</v>
      </c>
      <c r="C51" s="53"/>
      <c r="D51" s="53"/>
      <c r="E51" s="53"/>
      <c r="F51" s="53"/>
      <c r="G51" s="53"/>
      <c r="H51" s="53"/>
      <c r="I51" s="53"/>
      <c r="J51" s="53"/>
      <c r="K51" s="53"/>
    </row>
    <row r="52" spans="1:11" ht="13.5" customHeight="1" x14ac:dyDescent="0.15">
      <c r="A52" s="52" t="s">
        <v>61</v>
      </c>
      <c r="B52" s="53" t="s">
        <v>97</v>
      </c>
      <c r="C52" s="53"/>
      <c r="D52" s="53"/>
      <c r="E52" s="53"/>
      <c r="F52" s="53"/>
      <c r="G52" s="53"/>
      <c r="H52" s="53"/>
      <c r="I52" s="53"/>
      <c r="J52" s="53"/>
      <c r="K52" s="53"/>
    </row>
    <row r="53" spans="1:11" x14ac:dyDescent="0.15">
      <c r="A53" s="52" t="s">
        <v>32</v>
      </c>
      <c r="B53" s="255" t="s">
        <v>75</v>
      </c>
      <c r="C53" s="255"/>
      <c r="D53" s="255"/>
      <c r="E53" s="255"/>
      <c r="F53" s="255"/>
      <c r="G53" s="255"/>
      <c r="H53" s="255"/>
      <c r="I53" s="255"/>
      <c r="J53" s="255"/>
      <c r="K53" s="255"/>
    </row>
    <row r="54" spans="1:11" ht="24.75" customHeight="1" x14ac:dyDescent="0.15">
      <c r="A54" s="52" t="s">
        <v>64</v>
      </c>
      <c r="B54" s="255" t="s">
        <v>98</v>
      </c>
      <c r="C54" s="255"/>
      <c r="D54" s="255"/>
      <c r="E54" s="255"/>
      <c r="F54" s="255"/>
      <c r="G54" s="255"/>
      <c r="H54" s="255"/>
      <c r="I54" s="255"/>
      <c r="J54" s="255"/>
      <c r="K54" s="255"/>
    </row>
    <row r="55" spans="1:11" x14ac:dyDescent="0.15">
      <c r="A55" s="52" t="s">
        <v>66</v>
      </c>
      <c r="B55" s="53" t="s">
        <v>76</v>
      </c>
      <c r="C55" s="53"/>
      <c r="D55" s="53"/>
      <c r="E55" s="53"/>
      <c r="F55" s="53"/>
      <c r="G55" s="53"/>
      <c r="H55" s="53"/>
      <c r="I55" s="53"/>
      <c r="J55" s="53"/>
      <c r="K55" s="53"/>
    </row>
    <row r="56" spans="1:11" ht="28.5" customHeight="1" x14ac:dyDescent="0.15">
      <c r="A56" s="59" t="s">
        <v>77</v>
      </c>
      <c r="B56" s="262" t="s">
        <v>80</v>
      </c>
      <c r="C56" s="262"/>
      <c r="D56" s="262"/>
      <c r="E56" s="262"/>
      <c r="F56" s="262"/>
      <c r="G56" s="262"/>
      <c r="H56" s="262"/>
      <c r="I56" s="262"/>
      <c r="J56" s="262"/>
      <c r="K56" s="262"/>
    </row>
    <row r="57" spans="1:11" x14ac:dyDescent="0.15">
      <c r="A57" s="41"/>
    </row>
    <row r="58" spans="1:11" x14ac:dyDescent="0.15">
      <c r="A58" s="41"/>
    </row>
    <row r="60" spans="1:11" x14ac:dyDescent="0.15">
      <c r="B60" s="4"/>
    </row>
    <row r="61" spans="1:11" x14ac:dyDescent="0.15">
      <c r="B61" s="4"/>
    </row>
  </sheetData>
  <mergeCells count="13">
    <mergeCell ref="N6:S6"/>
    <mergeCell ref="C3:K3"/>
    <mergeCell ref="N3:S3"/>
    <mergeCell ref="F4:G4"/>
    <mergeCell ref="H4:I4"/>
    <mergeCell ref="M5:S5"/>
    <mergeCell ref="B56:K56"/>
    <mergeCell ref="M23:S23"/>
    <mergeCell ref="M28:S28"/>
    <mergeCell ref="M35:S35"/>
    <mergeCell ref="B45:K45"/>
    <mergeCell ref="B53:K53"/>
    <mergeCell ref="B54:K54"/>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70EDA-4858-4105-96FF-78CAE33D1B30}">
  <sheetPr>
    <tabColor theme="3" tint="0.39997558519241921"/>
  </sheetPr>
  <dimension ref="A1:Z71"/>
  <sheetViews>
    <sheetView zoomScale="85" zoomScaleNormal="85" zoomScaleSheetLayoutView="120" workbookViewId="0">
      <selection activeCell="P32" sqref="P32"/>
    </sheetView>
  </sheetViews>
  <sheetFormatPr baseColWidth="10" defaultColWidth="9.1640625" defaultRowHeight="14" x14ac:dyDescent="0.15"/>
  <cols>
    <col min="1" max="1" width="3" style="1" customWidth="1"/>
    <col min="2" max="2" width="38.33203125" style="1" customWidth="1"/>
    <col min="3" max="5" width="9" style="1" customWidth="1"/>
    <col min="6" max="9" width="9.5" style="1" customWidth="1"/>
    <col min="10" max="11" width="6.5" style="1" customWidth="1"/>
    <col min="12" max="12" width="30.1640625" style="4" customWidth="1"/>
    <col min="13" max="13" width="10.33203125" style="4" customWidth="1"/>
    <col min="14" max="14" width="9.6640625" style="4" customWidth="1"/>
    <col min="15" max="15" width="10" style="4" customWidth="1"/>
    <col min="16" max="16" width="7.83203125" style="4" customWidth="1"/>
    <col min="17" max="17" width="7.1640625" style="4" customWidth="1"/>
    <col min="18" max="18" width="7.6640625" style="4" customWidth="1"/>
    <col min="19" max="16384" width="9.1640625" style="4"/>
  </cols>
  <sheetData>
    <row r="1" spans="2:23" ht="20" x14ac:dyDescent="0.2">
      <c r="B1" s="2" t="s">
        <v>0</v>
      </c>
    </row>
    <row r="3" spans="2:23" ht="15" customHeight="1" x14ac:dyDescent="0.15">
      <c r="B3" s="5" t="s">
        <v>1</v>
      </c>
      <c r="C3" s="256" t="s">
        <v>420</v>
      </c>
      <c r="D3" s="256"/>
      <c r="E3" s="256"/>
      <c r="F3" s="256"/>
      <c r="G3" s="256"/>
      <c r="H3" s="256"/>
      <c r="I3" s="256"/>
      <c r="J3" s="256"/>
      <c r="K3" s="257"/>
      <c r="L3" s="63"/>
      <c r="M3" s="258"/>
      <c r="N3" s="259"/>
      <c r="O3" s="259"/>
      <c r="P3" s="259"/>
      <c r="Q3" s="259"/>
      <c r="R3" s="259"/>
    </row>
    <row r="4" spans="2:23" ht="16.5" customHeight="1" x14ac:dyDescent="0.15">
      <c r="B4" s="6"/>
      <c r="C4" s="7">
        <v>2020</v>
      </c>
      <c r="D4" s="7">
        <v>2030</v>
      </c>
      <c r="E4" s="7">
        <v>2050</v>
      </c>
      <c r="F4" s="260" t="s">
        <v>3</v>
      </c>
      <c r="G4" s="257"/>
      <c r="H4" s="260" t="s">
        <v>4</v>
      </c>
      <c r="I4" s="257"/>
      <c r="J4" s="7" t="s">
        <v>5</v>
      </c>
      <c r="K4" s="7" t="s">
        <v>6</v>
      </c>
      <c r="L4" s="8"/>
      <c r="M4" s="9"/>
      <c r="N4" s="9"/>
      <c r="O4" s="9"/>
      <c r="P4" s="9"/>
      <c r="Q4" s="9"/>
      <c r="R4" s="9"/>
    </row>
    <row r="5" spans="2:23" ht="15" customHeight="1" x14ac:dyDescent="0.15">
      <c r="B5" s="10" t="s">
        <v>7</v>
      </c>
      <c r="C5" s="11"/>
      <c r="D5" s="11"/>
      <c r="E5" s="11"/>
      <c r="F5" s="62" t="s">
        <v>8</v>
      </c>
      <c r="G5" s="62" t="s">
        <v>9</v>
      </c>
      <c r="H5" s="62" t="s">
        <v>8</v>
      </c>
      <c r="I5" s="62" t="s">
        <v>9</v>
      </c>
      <c r="J5" s="11"/>
      <c r="K5" s="12"/>
      <c r="L5" s="261"/>
      <c r="M5" s="261"/>
      <c r="N5" s="261"/>
      <c r="O5" s="261"/>
      <c r="P5" s="261"/>
      <c r="Q5" s="261"/>
      <c r="R5" s="261"/>
    </row>
    <row r="6" spans="2:23" ht="15" customHeight="1" x14ac:dyDescent="0.15">
      <c r="B6" s="13" t="s">
        <v>421</v>
      </c>
      <c r="C6" s="14">
        <v>6</v>
      </c>
      <c r="D6" s="14">
        <v>7</v>
      </c>
      <c r="E6" s="14">
        <v>8</v>
      </c>
      <c r="F6" s="14"/>
      <c r="G6" s="14"/>
      <c r="H6" s="14"/>
      <c r="I6" s="14"/>
      <c r="J6" s="15" t="s">
        <v>422</v>
      </c>
      <c r="K6" s="50" t="s">
        <v>135</v>
      </c>
      <c r="L6" s="17"/>
      <c r="M6" s="253"/>
      <c r="N6" s="254"/>
      <c r="O6" s="254"/>
      <c r="P6" s="254"/>
      <c r="Q6" s="254"/>
      <c r="R6" s="254"/>
    </row>
    <row r="7" spans="2:23" ht="15" customHeight="1" x14ac:dyDescent="0.15">
      <c r="B7" s="13" t="s">
        <v>423</v>
      </c>
      <c r="C7" s="49">
        <v>1.04</v>
      </c>
      <c r="D7" s="49">
        <v>2.08</v>
      </c>
      <c r="E7" s="49">
        <v>4.1630000000000003</v>
      </c>
      <c r="F7" s="47"/>
      <c r="G7" s="47"/>
      <c r="H7" s="47"/>
      <c r="I7" s="47"/>
      <c r="J7" s="15" t="s">
        <v>66</v>
      </c>
      <c r="K7" s="50" t="s">
        <v>135</v>
      </c>
      <c r="L7" s="17"/>
      <c r="M7" s="60"/>
      <c r="N7" s="61"/>
      <c r="O7" s="61"/>
      <c r="P7" s="61"/>
      <c r="Q7" s="61"/>
      <c r="R7" s="61"/>
    </row>
    <row r="8" spans="2:23" ht="15" customHeight="1" x14ac:dyDescent="0.15">
      <c r="B8" s="13" t="s">
        <v>424</v>
      </c>
      <c r="C8" s="49">
        <f>C7*96%</f>
        <v>0.99839999999999995</v>
      </c>
      <c r="D8" s="49">
        <f t="shared" ref="D8:E8" si="0">D7*96%</f>
        <v>1.9967999999999999</v>
      </c>
      <c r="E8" s="49">
        <f t="shared" si="0"/>
        <v>3.99648</v>
      </c>
      <c r="F8" s="47"/>
      <c r="G8" s="47"/>
      <c r="H8" s="47"/>
      <c r="I8" s="47"/>
      <c r="J8" s="20" t="s">
        <v>66</v>
      </c>
      <c r="K8" s="50" t="s">
        <v>135</v>
      </c>
      <c r="L8" s="17"/>
      <c r="M8" s="60"/>
      <c r="N8" s="61"/>
      <c r="O8" s="61"/>
      <c r="P8" s="61"/>
      <c r="Q8" s="61"/>
      <c r="R8" s="61"/>
    </row>
    <row r="9" spans="2:23" x14ac:dyDescent="0.15">
      <c r="B9" s="13" t="s">
        <v>425</v>
      </c>
      <c r="C9" s="85">
        <v>91</v>
      </c>
      <c r="D9" s="85">
        <v>92</v>
      </c>
      <c r="E9" s="85">
        <v>92</v>
      </c>
      <c r="F9" s="47"/>
      <c r="G9" s="47"/>
      <c r="H9" s="47"/>
      <c r="I9" s="47"/>
      <c r="J9" s="20" t="s">
        <v>32</v>
      </c>
      <c r="K9" s="46" t="s">
        <v>426</v>
      </c>
      <c r="L9" s="17"/>
      <c r="M9" s="18"/>
      <c r="N9" s="18"/>
      <c r="O9" s="18"/>
      <c r="P9" s="18"/>
      <c r="Q9" s="18"/>
      <c r="R9" s="18"/>
    </row>
    <row r="10" spans="2:23" x14ac:dyDescent="0.15">
      <c r="B10" s="13" t="s">
        <v>427</v>
      </c>
      <c r="C10" s="85">
        <v>95</v>
      </c>
      <c r="D10" s="85">
        <v>96</v>
      </c>
      <c r="E10" s="85">
        <v>96</v>
      </c>
      <c r="F10" s="47"/>
      <c r="G10" s="47"/>
      <c r="H10" s="47"/>
      <c r="I10" s="47"/>
      <c r="J10" s="20" t="s">
        <v>32</v>
      </c>
      <c r="K10" s="46" t="s">
        <v>426</v>
      </c>
      <c r="L10" s="17"/>
      <c r="M10" s="18"/>
      <c r="N10" s="18"/>
      <c r="O10" s="18"/>
      <c r="P10" s="18"/>
      <c r="Q10" s="18"/>
      <c r="R10" s="18"/>
    </row>
    <row r="11" spans="2:23" x14ac:dyDescent="0.15">
      <c r="B11" s="13" t="s">
        <v>428</v>
      </c>
      <c r="C11" s="76">
        <v>0.1</v>
      </c>
      <c r="D11" s="76">
        <v>0.1</v>
      </c>
      <c r="E11" s="76">
        <v>0.1</v>
      </c>
      <c r="F11" s="47"/>
      <c r="G11" s="47"/>
      <c r="H11" s="47"/>
      <c r="I11" s="47"/>
      <c r="J11" s="20"/>
      <c r="K11" s="50">
        <v>4</v>
      </c>
      <c r="L11" s="17"/>
      <c r="M11" s="18"/>
      <c r="N11" s="18"/>
      <c r="O11" s="18"/>
      <c r="P11" s="18"/>
      <c r="Q11" s="18"/>
      <c r="R11" s="18"/>
    </row>
    <row r="12" spans="2:23" x14ac:dyDescent="0.15">
      <c r="B12" s="13" t="s">
        <v>15</v>
      </c>
      <c r="C12" s="49">
        <v>0.38</v>
      </c>
      <c r="D12" s="49">
        <v>0.35</v>
      </c>
      <c r="E12" s="49">
        <v>0.25</v>
      </c>
      <c r="F12" s="47"/>
      <c r="G12" s="47"/>
      <c r="H12" s="47"/>
      <c r="I12" s="47"/>
      <c r="J12" s="15" t="s">
        <v>159</v>
      </c>
      <c r="K12" s="50"/>
      <c r="L12" s="1"/>
      <c r="M12" s="21"/>
      <c r="N12" s="21"/>
      <c r="O12" s="21"/>
      <c r="P12" s="21"/>
      <c r="Q12" s="21"/>
      <c r="R12" s="18"/>
    </row>
    <row r="13" spans="2:23" x14ac:dyDescent="0.15">
      <c r="B13" s="22" t="s">
        <v>16</v>
      </c>
      <c r="C13" s="49">
        <v>0.2</v>
      </c>
      <c r="D13" s="49">
        <v>0.1</v>
      </c>
      <c r="E13" s="49">
        <v>0.1</v>
      </c>
      <c r="F13" s="47"/>
      <c r="G13" s="47"/>
      <c r="H13" s="47"/>
      <c r="I13" s="47"/>
      <c r="J13" s="15" t="s">
        <v>182</v>
      </c>
      <c r="K13" s="50"/>
      <c r="L13" s="1"/>
      <c r="M13" s="21"/>
      <c r="N13" s="21"/>
      <c r="O13" s="21"/>
      <c r="P13" s="21"/>
      <c r="Q13" s="21"/>
      <c r="R13" s="18"/>
      <c r="W13" s="243"/>
    </row>
    <row r="14" spans="2:23" x14ac:dyDescent="0.15">
      <c r="B14" s="22" t="s">
        <v>429</v>
      </c>
      <c r="C14" s="47">
        <v>10000</v>
      </c>
      <c r="D14" s="47">
        <v>15000</v>
      </c>
      <c r="E14" s="47">
        <v>20000</v>
      </c>
      <c r="F14" s="47"/>
      <c r="G14" s="47"/>
      <c r="H14" s="47"/>
      <c r="I14" s="47"/>
      <c r="J14" s="15" t="s">
        <v>159</v>
      </c>
      <c r="K14" s="50">
        <v>5</v>
      </c>
      <c r="L14" s="1"/>
      <c r="M14" s="21"/>
      <c r="N14" s="21"/>
      <c r="O14" s="21"/>
      <c r="P14" s="21"/>
      <c r="Q14" s="21"/>
      <c r="R14" s="18"/>
    </row>
    <row r="15" spans="2:23" x14ac:dyDescent="0.15">
      <c r="B15" s="22" t="s">
        <v>17</v>
      </c>
      <c r="C15" s="47">
        <v>20</v>
      </c>
      <c r="D15" s="47">
        <v>25</v>
      </c>
      <c r="E15" s="47">
        <v>30</v>
      </c>
      <c r="F15" s="47"/>
      <c r="G15" s="47"/>
      <c r="H15" s="47"/>
      <c r="I15" s="47"/>
      <c r="J15" s="15" t="s">
        <v>64</v>
      </c>
      <c r="K15" s="50"/>
      <c r="L15" s="17"/>
      <c r="M15" s="18"/>
      <c r="N15" s="18"/>
      <c r="O15" s="18"/>
      <c r="P15" s="18"/>
      <c r="Q15" s="18"/>
      <c r="R15" s="18"/>
    </row>
    <row r="16" spans="2:23" x14ac:dyDescent="0.15">
      <c r="B16" s="22" t="s">
        <v>18</v>
      </c>
      <c r="C16" s="49">
        <v>0.2</v>
      </c>
      <c r="D16" s="49">
        <v>0.2</v>
      </c>
      <c r="E16" s="49">
        <v>0.2</v>
      </c>
      <c r="F16" s="47"/>
      <c r="G16" s="47"/>
      <c r="H16" s="47"/>
      <c r="I16" s="47"/>
      <c r="J16" s="15"/>
      <c r="K16" s="50"/>
      <c r="L16" s="17"/>
      <c r="M16" s="18"/>
      <c r="N16" s="18"/>
      <c r="O16" s="18"/>
      <c r="P16" s="18"/>
      <c r="Q16" s="18"/>
      <c r="R16" s="18"/>
    </row>
    <row r="17" spans="1:26" x14ac:dyDescent="0.15">
      <c r="B17" s="23" t="s">
        <v>430</v>
      </c>
      <c r="C17" s="47">
        <v>150</v>
      </c>
      <c r="D17" s="47">
        <v>200</v>
      </c>
      <c r="E17" s="47">
        <v>300</v>
      </c>
      <c r="F17" s="47"/>
      <c r="G17" s="47"/>
      <c r="H17" s="47"/>
      <c r="I17" s="47"/>
      <c r="J17" s="15"/>
      <c r="K17" s="50"/>
      <c r="L17" s="17"/>
      <c r="M17" s="18"/>
      <c r="N17" s="18"/>
      <c r="O17" s="18"/>
      <c r="P17" s="18"/>
      <c r="Q17" s="18"/>
      <c r="R17" s="18"/>
    </row>
    <row r="18" spans="1:26" x14ac:dyDescent="0.15">
      <c r="B18" s="24" t="s">
        <v>24</v>
      </c>
      <c r="C18" s="25"/>
      <c r="D18" s="25"/>
      <c r="E18" s="25"/>
      <c r="F18" s="25"/>
      <c r="G18" s="25"/>
      <c r="H18" s="25"/>
      <c r="I18" s="26"/>
      <c r="J18" s="26"/>
      <c r="K18" s="27"/>
      <c r="L18" s="17"/>
      <c r="M18" s="18"/>
      <c r="N18" s="18"/>
      <c r="O18" s="18"/>
      <c r="P18" s="18"/>
      <c r="Q18" s="18"/>
      <c r="R18" s="18"/>
    </row>
    <row r="19" spans="1:26" ht="25.5" customHeight="1" x14ac:dyDescent="0.15">
      <c r="B19" s="22" t="s">
        <v>431</v>
      </c>
      <c r="C19" s="244">
        <v>50</v>
      </c>
      <c r="D19" s="244">
        <v>50</v>
      </c>
      <c r="E19" s="244">
        <v>50</v>
      </c>
      <c r="F19" s="47"/>
      <c r="G19" s="47"/>
      <c r="H19" s="47"/>
      <c r="I19" s="47"/>
      <c r="J19" s="142"/>
      <c r="K19" s="79">
        <v>6</v>
      </c>
      <c r="L19" s="17"/>
      <c r="M19" s="18"/>
      <c r="N19" s="18"/>
      <c r="O19" s="18"/>
      <c r="P19" s="18"/>
      <c r="Q19" s="18"/>
      <c r="R19" s="18"/>
    </row>
    <row r="20" spans="1:26" x14ac:dyDescent="0.15">
      <c r="B20" s="24" t="s">
        <v>37</v>
      </c>
      <c r="C20" s="28"/>
      <c r="D20" s="28"/>
      <c r="E20" s="28"/>
      <c r="F20" s="28"/>
      <c r="G20" s="28"/>
      <c r="H20" s="28"/>
      <c r="I20" s="28"/>
      <c r="J20" s="28"/>
      <c r="K20" s="29"/>
      <c r="L20" s="17"/>
      <c r="M20" s="35"/>
      <c r="N20" s="35"/>
      <c r="O20" s="35"/>
      <c r="P20" s="35"/>
      <c r="Q20" s="18"/>
      <c r="R20" s="18"/>
    </row>
    <row r="21" spans="1:26" x14ac:dyDescent="0.15">
      <c r="B21" s="22" t="s">
        <v>432</v>
      </c>
      <c r="C21" s="245">
        <f>(C6*C22+C23*C6/C8+C24*C6)/C6</f>
        <v>0.57849839743589748</v>
      </c>
      <c r="D21" s="245">
        <f t="shared" ref="D21:E21" si="1">(D6*D22+D23*D6/D8+D24*D6)/D6</f>
        <v>0.26414743589743589</v>
      </c>
      <c r="E21" s="245">
        <f t="shared" si="1"/>
        <v>0.15726519337016576</v>
      </c>
      <c r="F21" s="245">
        <v>0.455019980831736</v>
      </c>
      <c r="G21" s="245">
        <v>0.92032271387198961</v>
      </c>
      <c r="H21" s="245">
        <v>7.5042600425035424E-2</v>
      </c>
      <c r="I21" s="245">
        <v>0.39798767735852991</v>
      </c>
      <c r="J21" s="15" t="s">
        <v>142</v>
      </c>
      <c r="K21" s="50">
        <v>13</v>
      </c>
      <c r="L21" s="17"/>
      <c r="M21" s="35"/>
      <c r="N21" s="35"/>
      <c r="O21" s="35"/>
      <c r="P21" s="35"/>
      <c r="Q21" s="18"/>
      <c r="R21" s="18"/>
      <c r="W21" s="243"/>
      <c r="X21" s="243"/>
      <c r="Y21" s="243"/>
      <c r="Z21" s="243"/>
    </row>
    <row r="22" spans="1:26" x14ac:dyDescent="0.15">
      <c r="B22" s="246" t="s">
        <v>433</v>
      </c>
      <c r="C22" s="245">
        <v>0.152</v>
      </c>
      <c r="D22" s="247">
        <v>6.2E-2</v>
      </c>
      <c r="E22" s="247">
        <v>3.5000000000000003E-2</v>
      </c>
      <c r="F22" s="245">
        <v>7.9552004333694498E-2</v>
      </c>
      <c r="G22" s="245">
        <v>0.21479041170097513</v>
      </c>
      <c r="H22" s="245">
        <v>2.9547887323943662E-2</v>
      </c>
      <c r="I22" s="245">
        <v>0.13069257854821237</v>
      </c>
      <c r="J22" s="15"/>
      <c r="K22" s="50" t="s">
        <v>394</v>
      </c>
      <c r="L22" s="17"/>
      <c r="M22" s="35"/>
      <c r="N22" s="35"/>
      <c r="O22" s="35"/>
      <c r="P22" s="35"/>
      <c r="Q22" s="18"/>
      <c r="R22" s="18"/>
      <c r="W22" s="243"/>
      <c r="X22" s="243"/>
      <c r="Y22" s="243"/>
      <c r="Z22" s="243"/>
    </row>
    <row r="23" spans="1:26" x14ac:dyDescent="0.15">
      <c r="B23" s="246" t="s">
        <v>434</v>
      </c>
      <c r="C23" s="245">
        <v>0.311</v>
      </c>
      <c r="D23" s="245">
        <v>0.184</v>
      </c>
      <c r="E23" s="245">
        <v>6.9000000000000006E-2</v>
      </c>
      <c r="F23" s="245">
        <v>0.27274972914409534</v>
      </c>
      <c r="G23" s="245">
        <v>0.57959317443120262</v>
      </c>
      <c r="H23" s="245">
        <v>4.5458288190682559E-2</v>
      </c>
      <c r="I23" s="245">
        <v>0.28411430119176601</v>
      </c>
      <c r="J23" s="15" t="s">
        <v>144</v>
      </c>
      <c r="K23" s="16" t="s">
        <v>435</v>
      </c>
      <c r="L23" s="17"/>
      <c r="M23" s="35"/>
      <c r="N23" s="35"/>
      <c r="O23" s="35"/>
      <c r="P23" s="35"/>
      <c r="Q23" s="18"/>
      <c r="R23" s="18"/>
      <c r="W23" s="243"/>
      <c r="X23" s="243"/>
      <c r="Y23" s="243"/>
      <c r="Z23" s="243"/>
    </row>
    <row r="24" spans="1:26" x14ac:dyDescent="0.15">
      <c r="B24" s="246" t="s">
        <v>436</v>
      </c>
      <c r="C24" s="245">
        <v>0.115</v>
      </c>
      <c r="D24" s="245">
        <v>0.11</v>
      </c>
      <c r="E24" s="245">
        <v>0.105</v>
      </c>
      <c r="F24" s="245">
        <v>0.10228114842903575</v>
      </c>
      <c r="G24" s="245">
        <v>0.12501029252437704</v>
      </c>
      <c r="H24" s="245">
        <v>2.272914409534128E-2</v>
      </c>
      <c r="I24" s="245">
        <v>0.12501029252437704</v>
      </c>
      <c r="J24" s="15" t="s">
        <v>437</v>
      </c>
      <c r="K24" s="16" t="s">
        <v>259</v>
      </c>
      <c r="L24" s="17"/>
      <c r="M24" s="35"/>
      <c r="N24" s="35"/>
      <c r="O24" s="35"/>
      <c r="P24" s="35"/>
      <c r="Q24" s="18"/>
      <c r="R24" s="18"/>
      <c r="W24" s="243"/>
      <c r="X24" s="243"/>
      <c r="Y24" s="243"/>
      <c r="Z24" s="243"/>
    </row>
    <row r="25" spans="1:26" x14ac:dyDescent="0.15">
      <c r="B25" s="22" t="s">
        <v>438</v>
      </c>
      <c r="C25" s="47">
        <v>621</v>
      </c>
      <c r="D25" s="47">
        <f>$C$25*$C$8/D8</f>
        <v>310.5</v>
      </c>
      <c r="E25" s="47">
        <f>$C$25*$C$8/E8</f>
        <v>155.13812154696132</v>
      </c>
      <c r="F25" s="47">
        <v>500</v>
      </c>
      <c r="G25" s="47">
        <v>650</v>
      </c>
      <c r="H25" s="47">
        <v>250</v>
      </c>
      <c r="I25" s="47">
        <v>350</v>
      </c>
      <c r="J25" s="15"/>
      <c r="K25" s="50">
        <v>12</v>
      </c>
      <c r="L25" s="17"/>
      <c r="M25" s="35"/>
      <c r="N25" s="35"/>
      <c r="O25" s="35"/>
      <c r="P25" s="35"/>
      <c r="Q25" s="18"/>
      <c r="R25" s="18"/>
      <c r="W25" s="243"/>
      <c r="X25" s="243"/>
      <c r="Y25" s="243"/>
      <c r="Z25" s="243"/>
    </row>
    <row r="26" spans="1:26" x14ac:dyDescent="0.15">
      <c r="B26" s="22" t="s">
        <v>439</v>
      </c>
      <c r="C26" s="49">
        <v>2.2999999999999998</v>
      </c>
      <c r="D26" s="49">
        <v>2.0699999999999998</v>
      </c>
      <c r="E26" s="49">
        <v>1.84</v>
      </c>
      <c r="F26" s="49">
        <v>0.45458288190682566</v>
      </c>
      <c r="G26" s="49">
        <v>6.3641603466955585</v>
      </c>
      <c r="H26" s="49">
        <v>0.34093716143011921</v>
      </c>
      <c r="I26" s="49">
        <v>2.8411430119176599</v>
      </c>
      <c r="J26" s="15" t="s">
        <v>146</v>
      </c>
      <c r="K26" s="50">
        <v>10</v>
      </c>
      <c r="L26" s="261"/>
      <c r="M26" s="261"/>
      <c r="N26" s="261"/>
      <c r="O26" s="261"/>
      <c r="P26" s="261"/>
      <c r="Q26" s="261"/>
      <c r="R26" s="261"/>
      <c r="W26" s="243"/>
      <c r="X26" s="243"/>
      <c r="Y26" s="243"/>
      <c r="Z26" s="243"/>
    </row>
    <row r="27" spans="1:26" ht="15" customHeight="1" x14ac:dyDescent="0.15">
      <c r="B27" s="86" t="s">
        <v>47</v>
      </c>
      <c r="C27" s="123"/>
      <c r="D27" s="123"/>
      <c r="E27" s="123"/>
      <c r="F27" s="123"/>
      <c r="G27" s="123"/>
      <c r="H27" s="123"/>
      <c r="I27" s="123"/>
      <c r="J27" s="123"/>
      <c r="K27" s="124"/>
      <c r="W27" s="243"/>
      <c r="X27" s="243"/>
      <c r="Y27" s="243"/>
      <c r="Z27" s="243"/>
    </row>
    <row r="28" spans="1:26" ht="25.5" customHeight="1" x14ac:dyDescent="0.15">
      <c r="B28" s="89" t="s">
        <v>440</v>
      </c>
      <c r="C28" s="248">
        <v>0.26700000000000002</v>
      </c>
      <c r="D28" s="248">
        <v>0.16300000000000001</v>
      </c>
      <c r="E28" s="248">
        <v>8.5999999999999993E-2</v>
      </c>
      <c r="F28" s="249">
        <v>0.18183315276273024</v>
      </c>
      <c r="G28" s="249">
        <v>0.2943424160346696</v>
      </c>
      <c r="H28" s="250">
        <v>5.2277031419284942E-2</v>
      </c>
      <c r="I28" s="250">
        <v>0.20001646803900325</v>
      </c>
      <c r="J28" s="36" t="s">
        <v>441</v>
      </c>
      <c r="K28" s="50" t="s">
        <v>394</v>
      </c>
    </row>
    <row r="29" spans="1:26" ht="24.75" customHeight="1" x14ac:dyDescent="0.15">
      <c r="B29" s="89" t="s">
        <v>442</v>
      </c>
      <c r="C29" s="248">
        <v>0.311</v>
      </c>
      <c r="D29" s="248">
        <v>0.184</v>
      </c>
      <c r="E29" s="248">
        <v>6.9000000000000006E-2</v>
      </c>
      <c r="F29" s="245">
        <v>0.27274972914409534</v>
      </c>
      <c r="G29" s="245">
        <v>0.57959317443120262</v>
      </c>
      <c r="H29" s="245">
        <v>4.5458288190682559E-2</v>
      </c>
      <c r="I29" s="245">
        <v>0.28411430119176601</v>
      </c>
      <c r="J29" s="36" t="s">
        <v>441</v>
      </c>
      <c r="K29" s="16" t="s">
        <v>435</v>
      </c>
    </row>
    <row r="30" spans="1:26" s="1" customFormat="1" x14ac:dyDescent="0.15">
      <c r="A30" s="3" t="s">
        <v>50</v>
      </c>
      <c r="C30" s="40"/>
      <c r="D30" s="40"/>
      <c r="E30" s="40"/>
      <c r="F30" s="40"/>
      <c r="G30" s="40"/>
      <c r="L30" s="4"/>
      <c r="M30" s="4"/>
      <c r="N30" s="4"/>
      <c r="O30" s="4"/>
      <c r="P30" s="4"/>
      <c r="Q30" s="4"/>
      <c r="R30" s="4"/>
    </row>
    <row r="31" spans="1:26" ht="27.75" customHeight="1" x14ac:dyDescent="0.15">
      <c r="A31" s="251">
        <v>1</v>
      </c>
      <c r="B31" s="262" t="s">
        <v>443</v>
      </c>
      <c r="C31" s="262"/>
      <c r="D31" s="262"/>
      <c r="E31" s="262"/>
      <c r="F31" s="262"/>
      <c r="G31" s="262"/>
      <c r="H31" s="262"/>
      <c r="I31" s="262"/>
      <c r="J31" s="262"/>
      <c r="K31" s="262"/>
    </row>
    <row r="32" spans="1:26" ht="18" customHeight="1" x14ac:dyDescent="0.15">
      <c r="A32" s="251">
        <v>2</v>
      </c>
      <c r="B32" s="274" t="s">
        <v>444</v>
      </c>
      <c r="C32" s="274"/>
      <c r="D32" s="274"/>
      <c r="E32" s="274"/>
      <c r="F32" s="274"/>
      <c r="G32" s="274"/>
      <c r="H32" s="274"/>
      <c r="I32" s="274"/>
      <c r="J32" s="274"/>
      <c r="K32" s="274"/>
      <c r="L32" s="35"/>
      <c r="M32" s="35"/>
      <c r="N32" s="35"/>
      <c r="O32" s="35"/>
      <c r="P32" s="35"/>
      <c r="Q32" s="35"/>
      <c r="R32" s="35"/>
      <c r="S32" s="35"/>
      <c r="T32" s="35"/>
    </row>
    <row r="33" spans="1:19" ht="14.25" customHeight="1" x14ac:dyDescent="0.15">
      <c r="A33" s="251">
        <v>3</v>
      </c>
      <c r="B33" s="262" t="s">
        <v>445</v>
      </c>
      <c r="C33" s="262"/>
      <c r="D33" s="262"/>
      <c r="E33" s="262"/>
      <c r="F33" s="262"/>
      <c r="G33" s="262"/>
      <c r="H33" s="262"/>
      <c r="I33" s="262"/>
      <c r="J33" s="262"/>
      <c r="K33" s="262"/>
    </row>
    <row r="34" spans="1:19" x14ac:dyDescent="0.15">
      <c r="A34" s="251">
        <v>4</v>
      </c>
      <c r="B34" s="262" t="s">
        <v>446</v>
      </c>
      <c r="C34" s="262"/>
      <c r="D34" s="262"/>
      <c r="E34" s="262"/>
      <c r="F34" s="262"/>
      <c r="G34" s="262"/>
      <c r="H34" s="262"/>
      <c r="I34" s="262"/>
      <c r="J34" s="262"/>
      <c r="K34" s="262"/>
    </row>
    <row r="35" spans="1:19" ht="15" customHeight="1" x14ac:dyDescent="0.15">
      <c r="A35" s="251">
        <v>5</v>
      </c>
      <c r="B35" s="275" t="s">
        <v>447</v>
      </c>
      <c r="C35" s="276"/>
      <c r="D35" s="276"/>
      <c r="E35" s="276"/>
      <c r="F35" s="276"/>
      <c r="G35" s="276"/>
      <c r="H35" s="276"/>
      <c r="I35" s="276"/>
      <c r="J35" s="276"/>
      <c r="K35" s="276"/>
    </row>
    <row r="36" spans="1:19" ht="25.5" customHeight="1" x14ac:dyDescent="0.15">
      <c r="A36" s="251">
        <v>6</v>
      </c>
      <c r="B36" s="262" t="s">
        <v>448</v>
      </c>
      <c r="C36" s="262"/>
      <c r="D36" s="262"/>
      <c r="E36" s="262"/>
      <c r="F36" s="262"/>
      <c r="G36" s="262"/>
      <c r="H36" s="262"/>
      <c r="I36" s="262"/>
      <c r="J36" s="262"/>
      <c r="K36" s="262"/>
      <c r="L36" s="273"/>
      <c r="M36" s="273"/>
      <c r="N36" s="273"/>
      <c r="O36" s="273"/>
      <c r="P36" s="273"/>
      <c r="Q36" s="273"/>
      <c r="R36" s="273"/>
      <c r="S36" s="273"/>
    </row>
    <row r="37" spans="1:19" ht="21" customHeight="1" x14ac:dyDescent="0.15">
      <c r="A37" s="251">
        <v>7</v>
      </c>
      <c r="B37" s="262" t="s">
        <v>449</v>
      </c>
      <c r="C37" s="262"/>
      <c r="D37" s="262"/>
      <c r="E37" s="262"/>
      <c r="F37" s="262"/>
      <c r="G37" s="262"/>
      <c r="H37" s="262"/>
      <c r="I37" s="262"/>
      <c r="J37" s="262"/>
      <c r="K37" s="262"/>
      <c r="L37" s="273"/>
      <c r="M37" s="273"/>
      <c r="N37" s="273"/>
      <c r="O37" s="273"/>
      <c r="P37" s="273"/>
      <c r="Q37" s="273"/>
      <c r="R37" s="273"/>
      <c r="S37" s="273"/>
    </row>
    <row r="38" spans="1:19" ht="25.5" customHeight="1" x14ac:dyDescent="0.15">
      <c r="A38" s="251">
        <v>8</v>
      </c>
      <c r="B38" s="262" t="s">
        <v>450</v>
      </c>
      <c r="C38" s="262"/>
      <c r="D38" s="262"/>
      <c r="E38" s="262"/>
      <c r="F38" s="262"/>
      <c r="G38" s="262"/>
      <c r="H38" s="262"/>
      <c r="I38" s="262"/>
      <c r="J38" s="262"/>
      <c r="K38" s="262"/>
      <c r="L38" s="270"/>
      <c r="M38" s="270"/>
      <c r="N38" s="270"/>
      <c r="O38" s="270"/>
      <c r="P38" s="270"/>
      <c r="Q38" s="270"/>
      <c r="R38" s="270"/>
      <c r="S38" s="270"/>
    </row>
    <row r="39" spans="1:19" ht="28.5" customHeight="1" x14ac:dyDescent="0.15">
      <c r="A39" s="251">
        <v>9</v>
      </c>
      <c r="B39" s="262" t="s">
        <v>451</v>
      </c>
      <c r="C39" s="262"/>
      <c r="D39" s="262"/>
      <c r="E39" s="262"/>
      <c r="F39" s="262"/>
      <c r="G39" s="262"/>
      <c r="H39" s="262"/>
      <c r="I39" s="262"/>
      <c r="J39" s="262"/>
      <c r="K39" s="262"/>
      <c r="L39" s="252"/>
      <c r="M39" s="252"/>
      <c r="N39" s="252"/>
      <c r="O39" s="252"/>
      <c r="P39" s="252"/>
      <c r="Q39" s="252"/>
      <c r="R39" s="252"/>
      <c r="S39" s="252"/>
    </row>
    <row r="40" spans="1:19" ht="24.75" customHeight="1" x14ac:dyDescent="0.15">
      <c r="A40" s="251">
        <v>10</v>
      </c>
      <c r="B40" s="262" t="s">
        <v>452</v>
      </c>
      <c r="C40" s="262"/>
      <c r="D40" s="262"/>
      <c r="E40" s="262"/>
      <c r="F40" s="262"/>
      <c r="G40" s="262"/>
      <c r="H40" s="262"/>
      <c r="I40" s="262"/>
      <c r="J40" s="262"/>
      <c r="K40" s="262"/>
      <c r="L40" s="252"/>
      <c r="M40" s="252"/>
      <c r="N40" s="252"/>
      <c r="O40" s="252"/>
      <c r="P40" s="252"/>
      <c r="Q40" s="252"/>
      <c r="R40" s="252"/>
      <c r="S40" s="252"/>
    </row>
    <row r="41" spans="1:19" ht="24.75" customHeight="1" x14ac:dyDescent="0.15">
      <c r="A41" s="251">
        <v>11</v>
      </c>
      <c r="B41" s="262" t="s">
        <v>453</v>
      </c>
      <c r="C41" s="262"/>
      <c r="D41" s="262"/>
      <c r="E41" s="262"/>
      <c r="F41" s="262"/>
      <c r="G41" s="262"/>
      <c r="H41" s="262"/>
      <c r="I41" s="262"/>
      <c r="J41" s="262"/>
      <c r="K41" s="262"/>
      <c r="L41" s="252"/>
      <c r="M41" s="252"/>
      <c r="N41" s="252"/>
      <c r="O41" s="252"/>
      <c r="P41" s="252"/>
      <c r="Q41" s="252"/>
      <c r="R41" s="252"/>
      <c r="S41" s="252"/>
    </row>
    <row r="42" spans="1:19" ht="24" customHeight="1" x14ac:dyDescent="0.15">
      <c r="A42" s="251">
        <v>12</v>
      </c>
      <c r="B42" s="262" t="s">
        <v>454</v>
      </c>
      <c r="C42" s="262"/>
      <c r="D42" s="262"/>
      <c r="E42" s="262"/>
      <c r="F42" s="262"/>
      <c r="G42" s="262"/>
      <c r="H42" s="262"/>
      <c r="I42" s="262"/>
      <c r="J42" s="262"/>
      <c r="K42" s="262"/>
      <c r="L42" s="252"/>
      <c r="M42" s="252"/>
      <c r="N42" s="252"/>
      <c r="O42" s="252"/>
      <c r="P42" s="252"/>
      <c r="Q42" s="252"/>
      <c r="R42" s="252"/>
      <c r="S42" s="252"/>
    </row>
    <row r="43" spans="1:19" x14ac:dyDescent="0.15">
      <c r="A43" s="1">
        <v>13</v>
      </c>
      <c r="B43" s="1" t="s">
        <v>455</v>
      </c>
    </row>
    <row r="44" spans="1:19" x14ac:dyDescent="0.15">
      <c r="A44" s="3" t="s">
        <v>59</v>
      </c>
      <c r="L44" s="271"/>
      <c r="M44" s="271"/>
      <c r="N44" s="271"/>
      <c r="O44" s="271"/>
      <c r="P44" s="271"/>
      <c r="Q44" s="271"/>
      <c r="R44" s="271"/>
      <c r="S44" s="271"/>
    </row>
    <row r="45" spans="1:19" ht="39" customHeight="1" x14ac:dyDescent="0.15">
      <c r="A45" s="137" t="s">
        <v>13</v>
      </c>
      <c r="B45" s="272" t="s">
        <v>456</v>
      </c>
      <c r="C45" s="272"/>
      <c r="D45" s="272"/>
      <c r="E45" s="272"/>
      <c r="F45" s="272"/>
      <c r="G45" s="272"/>
      <c r="H45" s="272"/>
      <c r="I45" s="272"/>
      <c r="J45" s="272"/>
      <c r="K45" s="272"/>
      <c r="L45" s="271"/>
      <c r="M45" s="271"/>
      <c r="N45" s="271"/>
      <c r="O45" s="271"/>
      <c r="P45" s="271"/>
      <c r="Q45" s="271"/>
      <c r="R45" s="271"/>
      <c r="S45" s="271"/>
    </row>
    <row r="46" spans="1:19" ht="24" customHeight="1" x14ac:dyDescent="0.15">
      <c r="A46" s="137" t="s">
        <v>61</v>
      </c>
      <c r="B46" s="255" t="s">
        <v>457</v>
      </c>
      <c r="C46" s="255"/>
      <c r="D46" s="255"/>
      <c r="E46" s="255"/>
      <c r="F46" s="255"/>
      <c r="G46" s="255"/>
      <c r="H46" s="255"/>
      <c r="I46" s="255"/>
      <c r="J46" s="255"/>
      <c r="K46" s="255"/>
      <c r="L46" s="271"/>
      <c r="M46" s="271"/>
      <c r="N46" s="271"/>
      <c r="O46" s="271"/>
      <c r="P46" s="271"/>
      <c r="Q46" s="271"/>
      <c r="R46" s="271"/>
      <c r="S46" s="271"/>
    </row>
    <row r="47" spans="1:19" ht="54.75" customHeight="1" x14ac:dyDescent="0.15">
      <c r="A47" s="137" t="s">
        <v>32</v>
      </c>
      <c r="B47" s="255" t="s">
        <v>458</v>
      </c>
      <c r="C47" s="255"/>
      <c r="D47" s="255"/>
      <c r="E47" s="255"/>
      <c r="F47" s="255"/>
      <c r="G47" s="255"/>
      <c r="H47" s="255"/>
      <c r="I47" s="255"/>
      <c r="J47" s="255"/>
      <c r="K47" s="255"/>
      <c r="L47" s="270"/>
      <c r="M47" s="270"/>
      <c r="N47" s="270"/>
      <c r="O47" s="270"/>
      <c r="P47" s="270"/>
      <c r="Q47" s="270"/>
      <c r="R47" s="270"/>
      <c r="S47" s="270"/>
    </row>
    <row r="48" spans="1:19" ht="24.75" customHeight="1" x14ac:dyDescent="0.15">
      <c r="A48" s="137" t="s">
        <v>64</v>
      </c>
      <c r="B48" s="255" t="s">
        <v>459</v>
      </c>
      <c r="C48" s="255"/>
      <c r="D48" s="255"/>
      <c r="E48" s="255"/>
      <c r="F48" s="255"/>
      <c r="G48" s="255"/>
      <c r="H48" s="255"/>
      <c r="I48" s="255"/>
      <c r="J48" s="255"/>
      <c r="K48" s="255"/>
      <c r="L48" s="270"/>
      <c r="M48" s="270"/>
      <c r="N48" s="270"/>
      <c r="O48" s="270"/>
      <c r="P48" s="270"/>
      <c r="Q48" s="270"/>
      <c r="R48" s="270"/>
      <c r="S48" s="270"/>
    </row>
    <row r="49" spans="1:20" ht="27" customHeight="1" x14ac:dyDescent="0.15">
      <c r="A49" s="137" t="s">
        <v>66</v>
      </c>
      <c r="B49" s="255" t="s">
        <v>460</v>
      </c>
      <c r="C49" s="255"/>
      <c r="D49" s="255"/>
      <c r="E49" s="255"/>
      <c r="F49" s="255"/>
      <c r="G49" s="255"/>
      <c r="H49" s="255"/>
      <c r="I49" s="255"/>
      <c r="J49" s="255"/>
      <c r="K49" s="255"/>
    </row>
    <row r="50" spans="1:20" ht="25.5" customHeight="1" x14ac:dyDescent="0.15">
      <c r="A50" s="137" t="s">
        <v>77</v>
      </c>
      <c r="B50" s="255" t="s">
        <v>461</v>
      </c>
      <c r="C50" s="255"/>
      <c r="D50" s="255"/>
      <c r="E50" s="255"/>
      <c r="F50" s="255"/>
      <c r="G50" s="255"/>
      <c r="H50" s="255"/>
      <c r="I50" s="255"/>
      <c r="J50" s="255"/>
      <c r="K50" s="255"/>
      <c r="L50" s="243"/>
      <c r="M50" s="243"/>
      <c r="N50" s="243"/>
      <c r="O50" s="243"/>
      <c r="P50" s="243"/>
      <c r="Q50" s="243"/>
      <c r="R50" s="243"/>
      <c r="S50" s="243"/>
    </row>
    <row r="51" spans="1:20" ht="18.75" customHeight="1" x14ac:dyDescent="0.15">
      <c r="A51" s="137" t="s">
        <v>142</v>
      </c>
      <c r="B51" s="255" t="s">
        <v>462</v>
      </c>
      <c r="C51" s="255"/>
      <c r="D51" s="255"/>
      <c r="E51" s="255"/>
      <c r="F51" s="255"/>
      <c r="G51" s="255"/>
      <c r="H51" s="255"/>
      <c r="I51" s="255"/>
      <c r="J51" s="255"/>
      <c r="K51" s="255"/>
      <c r="L51" s="243"/>
      <c r="M51" s="243"/>
      <c r="N51" s="243"/>
      <c r="O51" s="243"/>
      <c r="P51" s="243"/>
      <c r="Q51" s="243"/>
      <c r="R51" s="243"/>
      <c r="S51" s="243"/>
    </row>
    <row r="52" spans="1:20" ht="15" customHeight="1" x14ac:dyDescent="0.15">
      <c r="A52" s="137" t="s">
        <v>144</v>
      </c>
      <c r="B52" s="255" t="s">
        <v>458</v>
      </c>
      <c r="C52" s="255"/>
      <c r="D52" s="255"/>
      <c r="E52" s="255"/>
      <c r="F52" s="255"/>
      <c r="G52" s="255"/>
      <c r="H52" s="255"/>
      <c r="I52" s="255"/>
      <c r="J52" s="255"/>
      <c r="K52" s="255"/>
      <c r="L52" s="243"/>
      <c r="M52" s="243"/>
      <c r="N52" s="243"/>
      <c r="O52" s="243"/>
      <c r="P52" s="243"/>
      <c r="Q52" s="243"/>
      <c r="R52" s="243"/>
      <c r="S52" s="243"/>
    </row>
    <row r="53" spans="1:20" ht="15" customHeight="1" x14ac:dyDescent="0.15">
      <c r="A53" s="137" t="s">
        <v>146</v>
      </c>
      <c r="B53" s="263" t="s">
        <v>463</v>
      </c>
      <c r="C53" s="263"/>
      <c r="D53" s="263"/>
      <c r="E53" s="263"/>
      <c r="F53" s="263"/>
      <c r="G53" s="263"/>
      <c r="H53" s="263"/>
      <c r="I53" s="263"/>
      <c r="J53" s="263"/>
      <c r="K53" s="263"/>
      <c r="L53" s="243"/>
      <c r="M53" s="243"/>
      <c r="N53" s="243"/>
      <c r="O53" s="243"/>
      <c r="P53" s="243"/>
      <c r="Q53" s="243"/>
      <c r="R53" s="243"/>
      <c r="S53" s="243"/>
    </row>
    <row r="54" spans="1:20" ht="43.5" customHeight="1" x14ac:dyDescent="0.15">
      <c r="A54" s="137" t="s">
        <v>182</v>
      </c>
      <c r="B54" s="255" t="s">
        <v>464</v>
      </c>
      <c r="C54" s="255"/>
      <c r="D54" s="255"/>
      <c r="E54" s="255"/>
      <c r="F54" s="255"/>
      <c r="G54" s="255"/>
      <c r="H54" s="255"/>
      <c r="I54" s="255"/>
      <c r="J54" s="255"/>
      <c r="K54" s="255"/>
      <c r="L54" s="243"/>
      <c r="M54" s="243"/>
      <c r="N54" s="243"/>
      <c r="O54" s="243"/>
      <c r="P54" s="243"/>
      <c r="Q54" s="243"/>
      <c r="R54" s="243"/>
      <c r="S54" s="243"/>
    </row>
    <row r="55" spans="1:20" ht="65.25" customHeight="1" x14ac:dyDescent="0.15">
      <c r="A55" s="137" t="s">
        <v>159</v>
      </c>
      <c r="B55" s="255" t="s">
        <v>465</v>
      </c>
      <c r="C55" s="255"/>
      <c r="D55" s="255"/>
      <c r="E55" s="255"/>
      <c r="F55" s="255"/>
      <c r="G55" s="255"/>
      <c r="H55" s="255"/>
      <c r="I55" s="255"/>
      <c r="J55" s="255"/>
      <c r="K55" s="255"/>
      <c r="L55" s="243"/>
      <c r="M55" s="243"/>
      <c r="N55" s="243"/>
      <c r="O55" s="243"/>
      <c r="P55" s="243"/>
      <c r="Q55" s="243"/>
      <c r="R55" s="243"/>
      <c r="S55" s="243"/>
    </row>
    <row r="56" spans="1:20" ht="46.5" customHeight="1" x14ac:dyDescent="0.15">
      <c r="A56" s="137" t="s">
        <v>437</v>
      </c>
      <c r="B56" s="255" t="s">
        <v>466</v>
      </c>
      <c r="C56" s="255"/>
      <c r="D56" s="255"/>
      <c r="E56" s="255"/>
      <c r="F56" s="255"/>
      <c r="G56" s="255"/>
      <c r="H56" s="255"/>
      <c r="I56" s="255"/>
      <c r="J56" s="255"/>
      <c r="K56" s="255"/>
    </row>
    <row r="57" spans="1:20" ht="40.5" customHeight="1" x14ac:dyDescent="0.15">
      <c r="A57" s="251"/>
    </row>
    <row r="58" spans="1:20" x14ac:dyDescent="0.15">
      <c r="M58" s="270"/>
      <c r="N58" s="270"/>
      <c r="O58" s="270"/>
      <c r="P58" s="270"/>
      <c r="Q58" s="270"/>
      <c r="R58" s="270"/>
      <c r="S58" s="270"/>
      <c r="T58" s="270"/>
    </row>
    <row r="64" spans="1:20" x14ac:dyDescent="0.15">
      <c r="M64" s="270"/>
      <c r="N64" s="270"/>
      <c r="O64" s="270"/>
      <c r="P64" s="270"/>
      <c r="Q64" s="270"/>
      <c r="R64" s="270"/>
      <c r="S64" s="270"/>
      <c r="T64" s="270"/>
    </row>
    <row r="68" spans="13:20" x14ac:dyDescent="0.15">
      <c r="M68" s="270"/>
      <c r="N68" s="270"/>
      <c r="O68" s="270"/>
      <c r="P68" s="270"/>
      <c r="Q68" s="270"/>
      <c r="R68" s="270"/>
      <c r="S68" s="270"/>
      <c r="T68" s="270"/>
    </row>
    <row r="71" spans="13:20" x14ac:dyDescent="0.15">
      <c r="M71" s="271"/>
      <c r="N71" s="271"/>
      <c r="O71" s="271"/>
      <c r="P71" s="271"/>
      <c r="Q71" s="271"/>
      <c r="R71" s="271"/>
      <c r="S71" s="271"/>
      <c r="T71" s="271"/>
    </row>
  </sheetData>
  <mergeCells count="76">
    <mergeCell ref="M6:R6"/>
    <mergeCell ref="C3:K3"/>
    <mergeCell ref="M3:R3"/>
    <mergeCell ref="F4:G4"/>
    <mergeCell ref="H4:I4"/>
    <mergeCell ref="L5:R5"/>
    <mergeCell ref="R36:S37"/>
    <mergeCell ref="B37:K37"/>
    <mergeCell ref="P37:Q37"/>
    <mergeCell ref="L26:R26"/>
    <mergeCell ref="B31:K31"/>
    <mergeCell ref="B32:K32"/>
    <mergeCell ref="B33:K33"/>
    <mergeCell ref="B34:K34"/>
    <mergeCell ref="B35:K35"/>
    <mergeCell ref="B39:K39"/>
    <mergeCell ref="B36:K36"/>
    <mergeCell ref="L36:M37"/>
    <mergeCell ref="N36:O37"/>
    <mergeCell ref="P36:Q36"/>
    <mergeCell ref="B38:K38"/>
    <mergeCell ref="L38:M38"/>
    <mergeCell ref="N38:O38"/>
    <mergeCell ref="P38:Q38"/>
    <mergeCell ref="R38:S38"/>
    <mergeCell ref="B40:K40"/>
    <mergeCell ref="B41:K41"/>
    <mergeCell ref="B42:K42"/>
    <mergeCell ref="L44:M44"/>
    <mergeCell ref="N44:O44"/>
    <mergeCell ref="R44:S44"/>
    <mergeCell ref="B45:K45"/>
    <mergeCell ref="L45:M45"/>
    <mergeCell ref="N45:O45"/>
    <mergeCell ref="P45:Q45"/>
    <mergeCell ref="R45:S45"/>
    <mergeCell ref="P44:Q44"/>
    <mergeCell ref="R46:S46"/>
    <mergeCell ref="B47:K47"/>
    <mergeCell ref="L47:M47"/>
    <mergeCell ref="N47:O47"/>
    <mergeCell ref="P47:Q47"/>
    <mergeCell ref="R47:S47"/>
    <mergeCell ref="B49:K49"/>
    <mergeCell ref="B46:K46"/>
    <mergeCell ref="L46:M46"/>
    <mergeCell ref="N46:O46"/>
    <mergeCell ref="P46:Q46"/>
    <mergeCell ref="B48:K48"/>
    <mergeCell ref="L48:M48"/>
    <mergeCell ref="N48:O48"/>
    <mergeCell ref="P48:Q48"/>
    <mergeCell ref="R48:S48"/>
    <mergeCell ref="M64:N64"/>
    <mergeCell ref="O64:P64"/>
    <mergeCell ref="Q64:R64"/>
    <mergeCell ref="S64:T64"/>
    <mergeCell ref="B50:K50"/>
    <mergeCell ref="B51:K51"/>
    <mergeCell ref="B52:K52"/>
    <mergeCell ref="B53:K53"/>
    <mergeCell ref="B54:K54"/>
    <mergeCell ref="B55:K55"/>
    <mergeCell ref="B56:K56"/>
    <mergeCell ref="M58:N58"/>
    <mergeCell ref="O58:P58"/>
    <mergeCell ref="Q58:R58"/>
    <mergeCell ref="S58:T58"/>
    <mergeCell ref="M68:N68"/>
    <mergeCell ref="O68:P68"/>
    <mergeCell ref="Q68:R68"/>
    <mergeCell ref="S68:T68"/>
    <mergeCell ref="M71:N71"/>
    <mergeCell ref="O71:P71"/>
    <mergeCell ref="Q71:R71"/>
    <mergeCell ref="S71:T71"/>
  </mergeCells>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0011-7E43-4F15-86FB-6A33E133EEAB}">
  <sheetPr>
    <tabColor theme="4"/>
  </sheetPr>
  <dimension ref="A1:S55"/>
  <sheetViews>
    <sheetView zoomScale="70" zoomScaleNormal="70" zoomScaleSheetLayoutView="120" workbookViewId="0">
      <selection activeCell="M53" sqref="M53"/>
    </sheetView>
  </sheetViews>
  <sheetFormatPr baseColWidth="10" defaultColWidth="9.1640625" defaultRowHeight="14" x14ac:dyDescent="0.15"/>
  <cols>
    <col min="1" max="1" width="3" style="1" customWidth="1"/>
    <col min="2" max="2" width="35.1640625" style="1" customWidth="1"/>
    <col min="3" max="5" width="10.83203125" style="1" customWidth="1"/>
    <col min="6" max="9" width="9.5" style="1" customWidth="1"/>
    <col min="10" max="11" width="6.5" style="1" customWidth="1"/>
    <col min="12" max="12" width="6.83203125" style="1" customWidth="1"/>
    <col min="13" max="13" width="30.1640625" style="4" customWidth="1"/>
    <col min="14" max="14" width="10.1640625" style="4" customWidth="1"/>
    <col min="15" max="15" width="9.83203125" style="4" customWidth="1"/>
    <col min="16" max="16" width="10" style="4" customWidth="1"/>
    <col min="17" max="17" width="7.83203125" style="4" customWidth="1"/>
    <col min="18" max="18" width="7.1640625" style="4" customWidth="1"/>
    <col min="19" max="19" width="7.83203125" style="4" customWidth="1"/>
    <col min="20" max="16384" width="9.1640625" style="4"/>
  </cols>
  <sheetData>
    <row r="1" spans="2:19" ht="20" x14ac:dyDescent="0.2">
      <c r="B1" s="2" t="s">
        <v>0</v>
      </c>
    </row>
    <row r="3" spans="2:19" ht="15" customHeight="1" x14ac:dyDescent="0.15">
      <c r="B3" s="5" t="s">
        <v>1</v>
      </c>
      <c r="C3" s="256" t="s">
        <v>99</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50</v>
      </c>
      <c r="D6" s="47">
        <v>50</v>
      </c>
      <c r="E6" s="47">
        <v>50</v>
      </c>
      <c r="F6" s="47">
        <v>10</v>
      </c>
      <c r="G6" s="47">
        <v>100</v>
      </c>
      <c r="H6" s="47">
        <v>10</v>
      </c>
      <c r="I6" s="47">
        <v>100</v>
      </c>
      <c r="J6" s="15"/>
      <c r="K6" s="50">
        <v>2</v>
      </c>
      <c r="M6" s="17"/>
      <c r="N6" s="253"/>
      <c r="O6" s="254"/>
      <c r="P6" s="254"/>
      <c r="Q6" s="254"/>
      <c r="R6" s="254"/>
      <c r="S6" s="254"/>
    </row>
    <row r="7" spans="2:19" ht="15" customHeight="1" x14ac:dyDescent="0.15">
      <c r="B7" s="13" t="s">
        <v>11</v>
      </c>
      <c r="C7" s="47">
        <v>50</v>
      </c>
      <c r="D7" s="47">
        <v>50</v>
      </c>
      <c r="E7" s="47">
        <v>50</v>
      </c>
      <c r="F7" s="47">
        <v>20</v>
      </c>
      <c r="G7" s="47">
        <v>100</v>
      </c>
      <c r="H7" s="47">
        <v>20</v>
      </c>
      <c r="I7" s="47">
        <v>100</v>
      </c>
      <c r="J7" s="15"/>
      <c r="K7" s="50">
        <v>2</v>
      </c>
      <c r="M7" s="17"/>
      <c r="N7" s="60"/>
      <c r="O7" s="61"/>
      <c r="P7" s="61"/>
      <c r="Q7" s="61"/>
      <c r="R7" s="61"/>
      <c r="S7" s="61"/>
    </row>
    <row r="8" spans="2:19" x14ac:dyDescent="0.15">
      <c r="B8" s="13" t="s">
        <v>12</v>
      </c>
      <c r="C8" s="47">
        <v>95</v>
      </c>
      <c r="D8" s="47">
        <v>95</v>
      </c>
      <c r="E8" s="47">
        <v>95</v>
      </c>
      <c r="F8" s="47">
        <v>85</v>
      </c>
      <c r="G8" s="47">
        <v>97</v>
      </c>
      <c r="H8" s="47">
        <v>85</v>
      </c>
      <c r="I8" s="47">
        <v>97</v>
      </c>
      <c r="J8" s="15" t="s">
        <v>13</v>
      </c>
      <c r="K8" s="46">
        <v>1</v>
      </c>
      <c r="M8" s="17"/>
      <c r="N8" s="18"/>
      <c r="O8" s="18"/>
      <c r="P8" s="18"/>
      <c r="Q8" s="18"/>
      <c r="R8" s="18"/>
      <c r="S8" s="18"/>
    </row>
    <row r="9" spans="2:19" x14ac:dyDescent="0.15">
      <c r="B9" s="19" t="s">
        <v>14</v>
      </c>
      <c r="C9" s="47">
        <v>95</v>
      </c>
      <c r="D9" s="47">
        <v>95</v>
      </c>
      <c r="E9" s="47">
        <v>95</v>
      </c>
      <c r="F9" s="47">
        <v>85</v>
      </c>
      <c r="G9" s="47">
        <v>97</v>
      </c>
      <c r="H9" s="47">
        <v>85</v>
      </c>
      <c r="I9" s="47">
        <v>97</v>
      </c>
      <c r="J9" s="20" t="s">
        <v>13</v>
      </c>
      <c r="K9" s="66">
        <v>1</v>
      </c>
      <c r="M9" s="1"/>
      <c r="N9" s="18"/>
      <c r="O9" s="18"/>
      <c r="P9" s="18"/>
      <c r="Q9" s="18"/>
      <c r="R9" s="18"/>
      <c r="S9" s="18"/>
    </row>
    <row r="10" spans="2:19" x14ac:dyDescent="0.15">
      <c r="B10" s="13" t="s">
        <v>15</v>
      </c>
      <c r="C10" s="47">
        <v>4</v>
      </c>
      <c r="D10" s="47">
        <v>4</v>
      </c>
      <c r="E10" s="47">
        <v>4</v>
      </c>
      <c r="F10" s="47">
        <v>2</v>
      </c>
      <c r="G10" s="47">
        <v>10</v>
      </c>
      <c r="H10" s="47">
        <v>2</v>
      </c>
      <c r="I10" s="47">
        <v>10</v>
      </c>
      <c r="J10" s="15"/>
      <c r="K10" s="50">
        <v>1</v>
      </c>
      <c r="N10" s="21"/>
      <c r="O10" s="21"/>
      <c r="P10" s="21"/>
      <c r="Q10" s="21"/>
      <c r="R10" s="21"/>
      <c r="S10" s="18"/>
    </row>
    <row r="11" spans="2:19" x14ac:dyDescent="0.15">
      <c r="B11" s="22" t="s">
        <v>16</v>
      </c>
      <c r="C11" s="47">
        <v>6</v>
      </c>
      <c r="D11" s="47">
        <v>6</v>
      </c>
      <c r="E11" s="47">
        <v>6</v>
      </c>
      <c r="F11" s="47">
        <v>3</v>
      </c>
      <c r="G11" s="47">
        <v>10</v>
      </c>
      <c r="H11" s="47">
        <v>3</v>
      </c>
      <c r="I11" s="47">
        <v>10</v>
      </c>
      <c r="J11" s="15"/>
      <c r="K11" s="50">
        <v>1</v>
      </c>
      <c r="M11" s="1"/>
      <c r="N11" s="21"/>
      <c r="O11" s="21"/>
      <c r="P11" s="21"/>
      <c r="Q11" s="21"/>
      <c r="R11" s="21"/>
      <c r="S11" s="18"/>
    </row>
    <row r="12" spans="2:19" x14ac:dyDescent="0.15">
      <c r="B12" s="22" t="s">
        <v>17</v>
      </c>
      <c r="C12" s="47">
        <v>50</v>
      </c>
      <c r="D12" s="47">
        <v>50</v>
      </c>
      <c r="E12" s="47">
        <v>50</v>
      </c>
      <c r="F12" s="47">
        <v>40</v>
      </c>
      <c r="G12" s="47">
        <v>90</v>
      </c>
      <c r="H12" s="47">
        <v>40</v>
      </c>
      <c r="I12" s="47">
        <v>90</v>
      </c>
      <c r="J12" s="15"/>
      <c r="K12" s="50">
        <v>1</v>
      </c>
      <c r="M12" s="17"/>
      <c r="N12" s="18"/>
      <c r="O12" s="18"/>
      <c r="P12" s="18"/>
      <c r="Q12" s="18"/>
      <c r="R12" s="18"/>
      <c r="S12" s="18"/>
    </row>
    <row r="13" spans="2:19" x14ac:dyDescent="0.15">
      <c r="B13" s="22" t="s">
        <v>18</v>
      </c>
      <c r="C13" s="47">
        <v>3</v>
      </c>
      <c r="D13" s="47">
        <v>3</v>
      </c>
      <c r="E13" s="47">
        <v>3</v>
      </c>
      <c r="F13" s="15">
        <v>2</v>
      </c>
      <c r="G13" s="15">
        <v>6</v>
      </c>
      <c r="H13" s="15">
        <v>2</v>
      </c>
      <c r="I13" s="15">
        <v>6</v>
      </c>
      <c r="J13" s="15"/>
      <c r="K13" s="50">
        <v>1</v>
      </c>
      <c r="M13" s="17"/>
      <c r="N13" s="18"/>
      <c r="O13" s="18"/>
      <c r="P13" s="18"/>
      <c r="Q13" s="18"/>
      <c r="R13" s="18"/>
      <c r="S13" s="18"/>
    </row>
    <row r="14" spans="2:19" x14ac:dyDescent="0.15">
      <c r="B14" s="23" t="s">
        <v>20</v>
      </c>
      <c r="C14" s="47">
        <v>14</v>
      </c>
      <c r="D14" s="47">
        <v>14</v>
      </c>
      <c r="E14" s="47">
        <v>14</v>
      </c>
      <c r="F14" s="67">
        <f>C14*0.75</f>
        <v>10.5</v>
      </c>
      <c r="G14" s="67">
        <f>C14*1.25</f>
        <v>17.5</v>
      </c>
      <c r="H14" s="67">
        <f>E14*0.75</f>
        <v>10.5</v>
      </c>
      <c r="I14" s="67">
        <f>E14*1.25</f>
        <v>17.5</v>
      </c>
      <c r="J14" s="16" t="s">
        <v>61</v>
      </c>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80</v>
      </c>
      <c r="D16" s="46">
        <v>80</v>
      </c>
      <c r="E16" s="46">
        <v>80</v>
      </c>
      <c r="F16" s="46">
        <v>50</v>
      </c>
      <c r="G16" s="46">
        <v>95</v>
      </c>
      <c r="H16" s="46">
        <v>50</v>
      </c>
      <c r="I16" s="46">
        <v>95</v>
      </c>
      <c r="J16" s="16"/>
      <c r="K16" s="46" t="s">
        <v>100</v>
      </c>
      <c r="M16" s="17"/>
      <c r="N16" s="18"/>
      <c r="O16" s="18"/>
      <c r="P16" s="18"/>
      <c r="Q16" s="18"/>
      <c r="R16" s="18"/>
      <c r="S16" s="18"/>
    </row>
    <row r="17" spans="2:19" x14ac:dyDescent="0.15">
      <c r="B17" s="23" t="s">
        <v>23</v>
      </c>
      <c r="C17" s="67">
        <f>C16-C10-C11/52</f>
        <v>75.884615384615387</v>
      </c>
      <c r="D17" s="67">
        <f t="shared" ref="D17:E17" si="0">D16-D10-D11/52</f>
        <v>75.884615384615387</v>
      </c>
      <c r="E17" s="67">
        <f t="shared" si="0"/>
        <v>75.884615384615387</v>
      </c>
      <c r="F17" s="46">
        <v>50</v>
      </c>
      <c r="G17" s="46">
        <v>95</v>
      </c>
      <c r="H17" s="46">
        <v>50</v>
      </c>
      <c r="I17" s="46">
        <v>95</v>
      </c>
      <c r="J17" s="16"/>
      <c r="K17" s="46" t="s">
        <v>100</v>
      </c>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50</v>
      </c>
      <c r="D19" s="47">
        <v>50</v>
      </c>
      <c r="E19" s="47">
        <v>50</v>
      </c>
      <c r="F19" s="47">
        <v>30</v>
      </c>
      <c r="G19" s="47">
        <v>100</v>
      </c>
      <c r="H19" s="47">
        <v>30</v>
      </c>
      <c r="I19" s="68">
        <v>100</v>
      </c>
      <c r="J19" s="16"/>
      <c r="K19" s="50">
        <v>3</v>
      </c>
      <c r="L19" s="3"/>
      <c r="M19" s="17"/>
      <c r="N19" s="18"/>
      <c r="O19" s="18"/>
      <c r="P19" s="18"/>
      <c r="Q19" s="18"/>
      <c r="R19" s="18"/>
      <c r="S19" s="18"/>
    </row>
    <row r="20" spans="2:19" x14ac:dyDescent="0.15">
      <c r="B20" s="22" t="s">
        <v>26</v>
      </c>
      <c r="C20" s="47">
        <v>0</v>
      </c>
      <c r="D20" s="47">
        <v>0</v>
      </c>
      <c r="E20" s="47">
        <v>0</v>
      </c>
      <c r="F20" s="47">
        <v>0</v>
      </c>
      <c r="G20" s="47">
        <v>0</v>
      </c>
      <c r="H20" s="47">
        <v>0</v>
      </c>
      <c r="I20" s="46">
        <v>0</v>
      </c>
      <c r="J20" s="16"/>
      <c r="K20" s="50">
        <v>3</v>
      </c>
      <c r="M20" s="17"/>
      <c r="N20" s="18"/>
      <c r="O20" s="18"/>
      <c r="P20" s="18"/>
      <c r="Q20" s="18"/>
      <c r="R20" s="18"/>
      <c r="S20" s="18"/>
    </row>
    <row r="21" spans="2:19" x14ac:dyDescent="0.15">
      <c r="B21" s="22" t="s">
        <v>27</v>
      </c>
      <c r="C21" s="14">
        <v>0.1</v>
      </c>
      <c r="D21" s="14">
        <v>0.1</v>
      </c>
      <c r="E21" s="14">
        <v>0.1</v>
      </c>
      <c r="F21" s="14">
        <v>0</v>
      </c>
      <c r="G21" s="14">
        <v>0.3</v>
      </c>
      <c r="H21" s="14">
        <v>0</v>
      </c>
      <c r="I21" s="69">
        <v>0.3</v>
      </c>
      <c r="J21" s="16"/>
      <c r="K21" s="50">
        <v>3</v>
      </c>
      <c r="M21" s="17"/>
      <c r="N21" s="18"/>
      <c r="O21" s="18"/>
      <c r="P21" s="18"/>
      <c r="Q21" s="18"/>
      <c r="R21" s="18"/>
      <c r="S21" s="18"/>
    </row>
    <row r="22" spans="2:19" x14ac:dyDescent="0.15">
      <c r="B22" s="22" t="s">
        <v>28</v>
      </c>
      <c r="C22" s="14">
        <v>0.1</v>
      </c>
      <c r="D22" s="14">
        <v>0.1</v>
      </c>
      <c r="E22" s="14">
        <v>0.1</v>
      </c>
      <c r="F22" s="14">
        <v>0</v>
      </c>
      <c r="G22" s="14">
        <v>0.3</v>
      </c>
      <c r="H22" s="14">
        <v>0</v>
      </c>
      <c r="I22" s="69">
        <v>0.3</v>
      </c>
      <c r="J22" s="16"/>
      <c r="K22" s="50">
        <v>3</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2.29</v>
      </c>
      <c r="D30" s="49">
        <f>C30*0.96</f>
        <v>2.1983999999999999</v>
      </c>
      <c r="E30" s="49">
        <f>C30*0.89</f>
        <v>2.0381</v>
      </c>
      <c r="F30" s="71">
        <v>1.4</v>
      </c>
      <c r="G30" s="71">
        <v>5.2</v>
      </c>
      <c r="H30" s="71">
        <v>1.4</v>
      </c>
      <c r="I30" s="71">
        <v>5.2</v>
      </c>
      <c r="J30" s="16" t="s">
        <v>71</v>
      </c>
      <c r="K30" s="50" t="s">
        <v>101</v>
      </c>
      <c r="M30" s="17"/>
      <c r="N30" s="35"/>
      <c r="O30" s="35"/>
      <c r="P30" s="35"/>
      <c r="Q30" s="35"/>
      <c r="R30" s="18"/>
      <c r="S30" s="18"/>
    </row>
    <row r="31" spans="2:19" x14ac:dyDescent="0.15">
      <c r="B31" s="22" t="s">
        <v>40</v>
      </c>
      <c r="C31" s="56">
        <v>0.3</v>
      </c>
      <c r="D31" s="56">
        <v>0.3</v>
      </c>
      <c r="E31" s="56">
        <v>0.3</v>
      </c>
      <c r="F31" s="56">
        <v>0.2</v>
      </c>
      <c r="G31" s="56">
        <v>0.5</v>
      </c>
      <c r="H31" s="56">
        <v>0.2</v>
      </c>
      <c r="I31" s="56">
        <v>0.5</v>
      </c>
      <c r="J31" s="16"/>
      <c r="K31" s="16">
        <v>7</v>
      </c>
      <c r="M31" s="17"/>
      <c r="N31" s="35"/>
      <c r="O31" s="35"/>
      <c r="P31" s="35"/>
      <c r="Q31" s="35"/>
      <c r="R31" s="18"/>
      <c r="S31" s="18"/>
    </row>
    <row r="32" spans="2:19" x14ac:dyDescent="0.15">
      <c r="B32" s="22" t="s">
        <v>41</v>
      </c>
      <c r="C32" s="56">
        <v>0.7</v>
      </c>
      <c r="D32" s="56">
        <v>0.7</v>
      </c>
      <c r="E32" s="56">
        <v>0.7</v>
      </c>
      <c r="F32" s="56">
        <v>0.5</v>
      </c>
      <c r="G32" s="56">
        <v>0.8</v>
      </c>
      <c r="H32" s="56">
        <v>0.5</v>
      </c>
      <c r="I32" s="56">
        <v>0.8</v>
      </c>
      <c r="J32" s="16"/>
      <c r="K32" s="16">
        <v>7</v>
      </c>
      <c r="M32" s="17"/>
      <c r="N32" s="35"/>
      <c r="O32" s="35"/>
      <c r="P32" s="35"/>
      <c r="Q32" s="35"/>
      <c r="R32" s="18"/>
      <c r="S32" s="18"/>
    </row>
    <row r="33" spans="1:19" x14ac:dyDescent="0.15">
      <c r="B33" s="22" t="s">
        <v>42</v>
      </c>
      <c r="C33" s="48">
        <v>41900</v>
      </c>
      <c r="D33" s="48">
        <f>MROUND(C33*0.96,100)</f>
        <v>40200</v>
      </c>
      <c r="E33" s="48">
        <f>MROUND(C33*0.89,100)</f>
        <v>37300</v>
      </c>
      <c r="F33" s="48">
        <v>22000</v>
      </c>
      <c r="G33" s="48">
        <v>41900</v>
      </c>
      <c r="H33" s="48">
        <v>22000</v>
      </c>
      <c r="I33" s="48">
        <v>41900</v>
      </c>
      <c r="J33" s="16"/>
      <c r="K33" s="50" t="s">
        <v>102</v>
      </c>
      <c r="M33" s="17"/>
      <c r="N33" s="35"/>
      <c r="O33" s="35"/>
      <c r="P33" s="35"/>
      <c r="Q33" s="35"/>
      <c r="R33" s="18"/>
      <c r="S33" s="18"/>
    </row>
    <row r="34" spans="1:19" x14ac:dyDescent="0.15">
      <c r="B34" s="22" t="s">
        <v>45</v>
      </c>
      <c r="C34" s="49">
        <v>0.5</v>
      </c>
      <c r="D34" s="58">
        <f>C34*0.96</f>
        <v>0.48</v>
      </c>
      <c r="E34" s="58">
        <f t="shared" ref="E34" si="1">C34*0.89</f>
        <v>0.44500000000000001</v>
      </c>
      <c r="F34" s="70">
        <f>C34*0.75</f>
        <v>0.375</v>
      </c>
      <c r="G34" s="70">
        <f>C34*1.25</f>
        <v>0.625</v>
      </c>
      <c r="H34" s="70">
        <f>E34*0.75</f>
        <v>0.33374999999999999</v>
      </c>
      <c r="I34" s="70">
        <f>E34*1.25</f>
        <v>0.55625000000000002</v>
      </c>
      <c r="J34" s="16" t="s">
        <v>61</v>
      </c>
      <c r="K34" s="50">
        <v>1</v>
      </c>
      <c r="M34" s="17"/>
      <c r="N34" s="35"/>
      <c r="O34" s="35"/>
      <c r="P34" s="35"/>
      <c r="Q34" s="35"/>
      <c r="R34" s="18"/>
      <c r="S34" s="18"/>
    </row>
    <row r="35" spans="1:19" x14ac:dyDescent="0.15">
      <c r="B35" s="22" t="s">
        <v>46</v>
      </c>
      <c r="C35" s="47" t="s">
        <v>31</v>
      </c>
      <c r="D35" s="47" t="s">
        <v>31</v>
      </c>
      <c r="E35" s="47" t="s">
        <v>31</v>
      </c>
      <c r="F35" s="47" t="s">
        <v>31</v>
      </c>
      <c r="G35" s="47" t="s">
        <v>31</v>
      </c>
      <c r="H35" s="47" t="s">
        <v>31</v>
      </c>
      <c r="I35" s="70" t="s">
        <v>31</v>
      </c>
      <c r="J35" s="16"/>
      <c r="K35" s="50"/>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s="72" customFormat="1" x14ac:dyDescent="0.2">
      <c r="A38" s="53">
        <v>1</v>
      </c>
      <c r="B38" s="53" t="s">
        <v>90</v>
      </c>
      <c r="C38" s="53"/>
      <c r="D38" s="53"/>
      <c r="E38" s="53"/>
      <c r="F38" s="53"/>
      <c r="G38" s="53"/>
      <c r="H38" s="53"/>
      <c r="I38" s="53"/>
      <c r="J38" s="53"/>
      <c r="K38" s="53"/>
      <c r="L38" s="53"/>
    </row>
    <row r="39" spans="1:19" s="72" customFormat="1" ht="27" customHeight="1" x14ac:dyDescent="0.2">
      <c r="A39" s="53">
        <v>2</v>
      </c>
      <c r="B39" s="255" t="s">
        <v>91</v>
      </c>
      <c r="C39" s="255"/>
      <c r="D39" s="255"/>
      <c r="E39" s="255"/>
      <c r="F39" s="255"/>
      <c r="G39" s="255"/>
      <c r="H39" s="255"/>
      <c r="I39" s="255"/>
      <c r="J39" s="255"/>
      <c r="K39" s="255"/>
      <c r="L39" s="53"/>
    </row>
    <row r="40" spans="1:19" s="53" customFormat="1" x14ac:dyDescent="0.2">
      <c r="A40" s="53">
        <v>3</v>
      </c>
      <c r="B40" s="53" t="s">
        <v>88</v>
      </c>
      <c r="M40" s="72"/>
      <c r="N40" s="72"/>
      <c r="O40" s="72"/>
      <c r="P40" s="72"/>
      <c r="Q40" s="72"/>
      <c r="R40" s="72"/>
      <c r="S40" s="72"/>
    </row>
    <row r="41" spans="1:19" s="53" customFormat="1" x14ac:dyDescent="0.2">
      <c r="A41" s="53">
        <v>4</v>
      </c>
      <c r="B41" s="53" t="s">
        <v>92</v>
      </c>
      <c r="M41" s="72"/>
      <c r="N41" s="72"/>
      <c r="O41" s="72"/>
      <c r="P41" s="72"/>
      <c r="Q41" s="72"/>
      <c r="R41" s="72"/>
      <c r="S41" s="72"/>
    </row>
    <row r="42" spans="1:19" s="53" customFormat="1" x14ac:dyDescent="0.2">
      <c r="A42" s="53">
        <v>5</v>
      </c>
      <c r="B42" s="53" t="s">
        <v>52</v>
      </c>
      <c r="M42" s="72"/>
      <c r="N42" s="72"/>
      <c r="O42" s="72"/>
      <c r="P42" s="72"/>
      <c r="Q42" s="72"/>
      <c r="R42" s="72"/>
      <c r="S42" s="72"/>
    </row>
    <row r="43" spans="1:19" s="53" customFormat="1" x14ac:dyDescent="0.2">
      <c r="A43" s="53">
        <v>6</v>
      </c>
      <c r="B43" s="53" t="s">
        <v>89</v>
      </c>
      <c r="M43" s="72"/>
      <c r="N43" s="72"/>
      <c r="O43" s="72"/>
      <c r="P43" s="72"/>
      <c r="Q43" s="72"/>
      <c r="R43" s="72"/>
      <c r="S43" s="72"/>
    </row>
    <row r="44" spans="1:19" s="53" customFormat="1" x14ac:dyDescent="0.2">
      <c r="A44" s="53">
        <v>7</v>
      </c>
      <c r="B44" s="53" t="s">
        <v>94</v>
      </c>
      <c r="M44" s="72"/>
      <c r="N44" s="72"/>
      <c r="O44" s="72"/>
      <c r="P44" s="72"/>
      <c r="Q44" s="72"/>
      <c r="R44" s="72"/>
      <c r="S44" s="72"/>
    </row>
    <row r="45" spans="1:19" s="53" customFormat="1" x14ac:dyDescent="0.2">
      <c r="A45" s="53">
        <v>8</v>
      </c>
      <c r="B45" s="53" t="s">
        <v>87</v>
      </c>
      <c r="M45" s="72"/>
      <c r="N45" s="72"/>
      <c r="O45" s="72"/>
      <c r="P45" s="72"/>
      <c r="Q45" s="72"/>
      <c r="R45" s="72"/>
      <c r="S45" s="72"/>
    </row>
    <row r="46" spans="1:19" s="53" customFormat="1" x14ac:dyDescent="0.2">
      <c r="A46" s="53">
        <v>9</v>
      </c>
      <c r="B46" s="53" t="s">
        <v>95</v>
      </c>
      <c r="M46" s="72"/>
      <c r="N46" s="72"/>
      <c r="O46" s="72"/>
      <c r="P46" s="72"/>
      <c r="Q46" s="72"/>
      <c r="R46" s="72"/>
      <c r="S46" s="72"/>
    </row>
    <row r="47" spans="1:19" s="1" customFormat="1" x14ac:dyDescent="0.15">
      <c r="A47" s="3" t="s">
        <v>59</v>
      </c>
      <c r="M47" s="4"/>
      <c r="N47" s="4"/>
      <c r="O47" s="4"/>
      <c r="P47" s="4"/>
      <c r="Q47" s="4"/>
      <c r="R47" s="4"/>
      <c r="S47" s="4"/>
    </row>
    <row r="48" spans="1:19" s="1" customFormat="1" x14ac:dyDescent="0.15">
      <c r="A48" s="52" t="s">
        <v>13</v>
      </c>
      <c r="B48" s="53" t="s">
        <v>96</v>
      </c>
      <c r="C48" s="53"/>
      <c r="D48" s="53"/>
      <c r="E48" s="53"/>
      <c r="F48" s="53"/>
      <c r="G48" s="53"/>
      <c r="H48" s="53"/>
      <c r="I48" s="53"/>
      <c r="J48" s="53"/>
      <c r="K48" s="53"/>
      <c r="M48" s="4"/>
      <c r="N48" s="4"/>
      <c r="O48" s="4"/>
      <c r="P48" s="4"/>
      <c r="Q48" s="4"/>
      <c r="R48" s="4"/>
      <c r="S48" s="4"/>
    </row>
    <row r="49" spans="1:19" s="1" customFormat="1" ht="13.5" customHeight="1" x14ac:dyDescent="0.15">
      <c r="A49" s="52" t="s">
        <v>61</v>
      </c>
      <c r="B49" s="255" t="s">
        <v>75</v>
      </c>
      <c r="C49" s="255"/>
      <c r="D49" s="255"/>
      <c r="E49" s="255"/>
      <c r="F49" s="255"/>
      <c r="G49" s="255"/>
      <c r="H49" s="255"/>
      <c r="I49" s="255"/>
      <c r="J49" s="255"/>
      <c r="K49" s="255"/>
      <c r="M49" s="4"/>
      <c r="N49" s="4"/>
      <c r="O49" s="4"/>
      <c r="P49" s="4"/>
      <c r="Q49" s="4"/>
      <c r="R49" s="4"/>
      <c r="S49" s="4"/>
    </row>
    <row r="50" spans="1:19" s="1" customFormat="1" ht="26.25" customHeight="1" x14ac:dyDescent="0.15">
      <c r="A50" s="52" t="s">
        <v>32</v>
      </c>
      <c r="B50" s="255" t="s">
        <v>98</v>
      </c>
      <c r="C50" s="255"/>
      <c r="D50" s="255"/>
      <c r="E50" s="255"/>
      <c r="F50" s="255"/>
      <c r="G50" s="255"/>
      <c r="H50" s="255"/>
      <c r="I50" s="255"/>
      <c r="J50" s="255"/>
      <c r="K50" s="255"/>
      <c r="M50" s="4"/>
      <c r="N50" s="4"/>
      <c r="O50" s="4"/>
      <c r="P50" s="4"/>
      <c r="Q50" s="4"/>
      <c r="R50" s="4"/>
      <c r="S50" s="4"/>
    </row>
    <row r="51" spans="1:19" s="1" customFormat="1" x14ac:dyDescent="0.15">
      <c r="A51" s="52" t="s">
        <v>64</v>
      </c>
      <c r="B51" s="53" t="s">
        <v>76</v>
      </c>
      <c r="C51" s="53"/>
      <c r="D51" s="53"/>
      <c r="E51" s="53"/>
      <c r="F51" s="53"/>
      <c r="G51" s="53"/>
      <c r="H51" s="53"/>
      <c r="I51" s="53"/>
      <c r="J51" s="53"/>
      <c r="K51" s="53"/>
      <c r="M51" s="4"/>
      <c r="N51" s="4"/>
      <c r="O51" s="4"/>
      <c r="P51" s="4"/>
      <c r="Q51" s="4"/>
      <c r="R51" s="4"/>
      <c r="S51" s="4"/>
    </row>
    <row r="52" spans="1:19" s="1" customFormat="1" x14ac:dyDescent="0.15">
      <c r="A52" s="52"/>
      <c r="B52" s="53"/>
      <c r="C52" s="53"/>
      <c r="D52" s="53"/>
      <c r="E52" s="53"/>
      <c r="F52" s="53"/>
      <c r="G52" s="53"/>
      <c r="H52" s="53"/>
      <c r="I52" s="53"/>
      <c r="J52" s="53"/>
      <c r="K52" s="53"/>
      <c r="M52" s="4"/>
      <c r="N52" s="4"/>
      <c r="O52" s="4"/>
      <c r="P52" s="4"/>
      <c r="Q52" s="4"/>
      <c r="R52" s="4"/>
      <c r="S52" s="4"/>
    </row>
    <row r="53" spans="1:19" s="1" customFormat="1" x14ac:dyDescent="0.15">
      <c r="A53" s="52"/>
      <c r="B53" s="53"/>
      <c r="C53" s="53"/>
      <c r="D53" s="53"/>
      <c r="E53" s="53"/>
      <c r="F53" s="53"/>
      <c r="G53" s="53"/>
      <c r="H53" s="53"/>
      <c r="I53" s="53"/>
      <c r="J53" s="53"/>
      <c r="K53" s="53"/>
      <c r="M53" s="4"/>
      <c r="N53" s="4"/>
      <c r="O53" s="4"/>
      <c r="P53" s="4"/>
      <c r="Q53" s="4"/>
      <c r="R53" s="4"/>
      <c r="S53" s="4"/>
    </row>
    <row r="54" spans="1:19" s="1" customFormat="1" x14ac:dyDescent="0.15">
      <c r="A54" s="41"/>
      <c r="M54" s="4"/>
      <c r="N54" s="4"/>
      <c r="O54" s="4"/>
      <c r="P54" s="4"/>
      <c r="Q54" s="4"/>
      <c r="R54" s="4"/>
      <c r="S54" s="4"/>
    </row>
    <row r="55" spans="1:19" s="1" customFormat="1" x14ac:dyDescent="0.15">
      <c r="A55" s="41"/>
      <c r="M55" s="4"/>
      <c r="N55" s="4"/>
      <c r="O55" s="4"/>
      <c r="P55" s="4"/>
      <c r="Q55" s="4"/>
      <c r="R55" s="4"/>
      <c r="S55" s="4"/>
    </row>
  </sheetData>
  <mergeCells count="12">
    <mergeCell ref="B50:K50"/>
    <mergeCell ref="C3:K3"/>
    <mergeCell ref="N3:S3"/>
    <mergeCell ref="F4:G4"/>
    <mergeCell ref="H4:I4"/>
    <mergeCell ref="M5:S5"/>
    <mergeCell ref="N6:S6"/>
    <mergeCell ref="M23:S23"/>
    <mergeCell ref="M28:S28"/>
    <mergeCell ref="M35:S35"/>
    <mergeCell ref="B39:K39"/>
    <mergeCell ref="B49:K49"/>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33336-D2E0-498B-9FBD-ACA443CA28A1}">
  <sheetPr>
    <tabColor theme="4"/>
  </sheetPr>
  <dimension ref="A1:S59"/>
  <sheetViews>
    <sheetView topLeftCell="A7" zoomScaleNormal="100" zoomScaleSheetLayoutView="120" workbookViewId="0">
      <selection activeCell="M53" sqref="M53"/>
    </sheetView>
  </sheetViews>
  <sheetFormatPr baseColWidth="10" defaultColWidth="9.1640625" defaultRowHeight="14" x14ac:dyDescent="0.15"/>
  <cols>
    <col min="1" max="1" width="3" style="1" customWidth="1"/>
    <col min="2" max="2" width="35.1640625" style="1" customWidth="1"/>
    <col min="3" max="5" width="10.83203125" style="1" customWidth="1"/>
    <col min="6" max="9" width="9.5" style="1" customWidth="1"/>
    <col min="10" max="10" width="6.5" style="1" customWidth="1"/>
    <col min="11" max="11" width="7" style="1" bestFit="1" customWidth="1"/>
    <col min="12" max="12" width="6.83203125" style="1" customWidth="1"/>
    <col min="13" max="13" width="30.1640625" style="4" customWidth="1"/>
    <col min="14" max="14" width="10.1640625" style="4" customWidth="1"/>
    <col min="15" max="15" width="9.83203125" style="4" customWidth="1"/>
    <col min="16" max="16" width="10" style="4" customWidth="1"/>
    <col min="17" max="17" width="7.83203125" style="4" customWidth="1"/>
    <col min="18" max="18" width="7.1640625" style="4" customWidth="1"/>
    <col min="19" max="19" width="7.83203125" style="4" customWidth="1"/>
    <col min="20" max="16384" width="9.1640625" style="4"/>
  </cols>
  <sheetData>
    <row r="1" spans="2:19" ht="20" x14ac:dyDescent="0.2">
      <c r="B1" s="2" t="s">
        <v>0</v>
      </c>
    </row>
    <row r="3" spans="2:19" ht="15" customHeight="1" x14ac:dyDescent="0.15">
      <c r="B3" s="5" t="s">
        <v>1</v>
      </c>
      <c r="C3" s="256" t="s">
        <v>103</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5</v>
      </c>
      <c r="D6" s="47">
        <v>5</v>
      </c>
      <c r="E6" s="47">
        <v>5</v>
      </c>
      <c r="F6" s="47">
        <v>1</v>
      </c>
      <c r="G6" s="47">
        <v>10</v>
      </c>
      <c r="H6" s="47">
        <v>1</v>
      </c>
      <c r="I6" s="47">
        <v>10</v>
      </c>
      <c r="J6" s="15"/>
      <c r="K6" s="50" t="s">
        <v>69</v>
      </c>
      <c r="M6" s="17"/>
      <c r="N6" s="253"/>
      <c r="O6" s="254"/>
      <c r="P6" s="254"/>
      <c r="Q6" s="254"/>
      <c r="R6" s="254"/>
      <c r="S6" s="254"/>
    </row>
    <row r="7" spans="2:19" ht="15" customHeight="1" x14ac:dyDescent="0.15">
      <c r="B7" s="13" t="s">
        <v>11</v>
      </c>
      <c r="C7" s="47">
        <v>5</v>
      </c>
      <c r="D7" s="47">
        <v>5</v>
      </c>
      <c r="E7" s="47">
        <v>5</v>
      </c>
      <c r="F7" s="47">
        <v>1</v>
      </c>
      <c r="G7" s="47">
        <v>10</v>
      </c>
      <c r="H7" s="47">
        <v>1</v>
      </c>
      <c r="I7" s="47">
        <v>10</v>
      </c>
      <c r="J7" s="15"/>
      <c r="K7" s="50" t="s">
        <v>69</v>
      </c>
      <c r="M7" s="17"/>
      <c r="N7" s="60"/>
      <c r="O7" s="61"/>
      <c r="P7" s="61"/>
      <c r="Q7" s="61"/>
      <c r="R7" s="61"/>
      <c r="S7" s="61"/>
    </row>
    <row r="8" spans="2:19" x14ac:dyDescent="0.15">
      <c r="B8" s="13" t="s">
        <v>12</v>
      </c>
      <c r="C8" s="47">
        <v>80</v>
      </c>
      <c r="D8" s="47">
        <v>80</v>
      </c>
      <c r="E8" s="47">
        <v>80</v>
      </c>
      <c r="F8" s="47">
        <v>70</v>
      </c>
      <c r="G8" s="47">
        <v>90</v>
      </c>
      <c r="H8" s="47">
        <v>70</v>
      </c>
      <c r="I8" s="47">
        <v>90</v>
      </c>
      <c r="J8" s="15" t="s">
        <v>13</v>
      </c>
      <c r="K8" s="46">
        <v>7</v>
      </c>
      <c r="M8" s="17"/>
      <c r="N8" s="18"/>
      <c r="O8" s="18"/>
      <c r="P8" s="18"/>
      <c r="Q8" s="18"/>
      <c r="R8" s="18"/>
      <c r="S8" s="18"/>
    </row>
    <row r="9" spans="2:19" x14ac:dyDescent="0.15">
      <c r="B9" s="19" t="s">
        <v>14</v>
      </c>
      <c r="C9" s="47">
        <v>80</v>
      </c>
      <c r="D9" s="47">
        <v>80</v>
      </c>
      <c r="E9" s="47">
        <v>80</v>
      </c>
      <c r="F9" s="47">
        <v>70</v>
      </c>
      <c r="G9" s="47">
        <v>90</v>
      </c>
      <c r="H9" s="47">
        <v>70</v>
      </c>
      <c r="I9" s="47">
        <v>90</v>
      </c>
      <c r="J9" s="20" t="s">
        <v>13</v>
      </c>
      <c r="K9" s="66">
        <v>7</v>
      </c>
      <c r="M9" s="17"/>
      <c r="N9" s="18"/>
      <c r="O9" s="18"/>
      <c r="P9" s="18"/>
      <c r="Q9" s="18"/>
      <c r="R9" s="18"/>
      <c r="S9" s="18"/>
    </row>
    <row r="10" spans="2:19" x14ac:dyDescent="0.15">
      <c r="B10" s="13" t="s">
        <v>15</v>
      </c>
      <c r="C10" s="47">
        <v>4</v>
      </c>
      <c r="D10" s="47">
        <v>4</v>
      </c>
      <c r="E10" s="47">
        <v>4</v>
      </c>
      <c r="F10" s="47">
        <v>2</v>
      </c>
      <c r="G10" s="47">
        <v>10</v>
      </c>
      <c r="H10" s="47">
        <v>2</v>
      </c>
      <c r="I10" s="47">
        <v>10</v>
      </c>
      <c r="J10" s="15"/>
      <c r="K10" s="50"/>
      <c r="M10" s="1"/>
      <c r="N10" s="21"/>
      <c r="O10" s="21"/>
      <c r="P10" s="21"/>
      <c r="Q10" s="21"/>
      <c r="R10" s="21"/>
      <c r="S10" s="18"/>
    </row>
    <row r="11" spans="2:19" x14ac:dyDescent="0.15">
      <c r="B11" s="22" t="s">
        <v>16</v>
      </c>
      <c r="C11" s="47">
        <v>6</v>
      </c>
      <c r="D11" s="47">
        <v>6</v>
      </c>
      <c r="E11" s="47">
        <v>6</v>
      </c>
      <c r="F11" s="47">
        <v>3</v>
      </c>
      <c r="G11" s="47">
        <v>10</v>
      </c>
      <c r="H11" s="47">
        <v>3</v>
      </c>
      <c r="I11" s="47">
        <v>10</v>
      </c>
      <c r="J11" s="15"/>
      <c r="K11" s="50"/>
      <c r="M11" s="1"/>
      <c r="N11" s="21"/>
      <c r="O11" s="21"/>
      <c r="P11" s="21"/>
      <c r="Q11" s="21"/>
      <c r="R11" s="21"/>
      <c r="S11" s="18"/>
    </row>
    <row r="12" spans="2:19" x14ac:dyDescent="0.15">
      <c r="B12" s="22" t="s">
        <v>17</v>
      </c>
      <c r="C12" s="47">
        <v>50</v>
      </c>
      <c r="D12" s="47">
        <v>50</v>
      </c>
      <c r="E12" s="47">
        <v>50</v>
      </c>
      <c r="F12" s="47">
        <v>40</v>
      </c>
      <c r="G12" s="47">
        <v>90</v>
      </c>
      <c r="H12" s="47">
        <v>40</v>
      </c>
      <c r="I12" s="47">
        <v>90</v>
      </c>
      <c r="J12" s="15" t="s">
        <v>61</v>
      </c>
      <c r="K12" s="50"/>
      <c r="M12" s="17"/>
      <c r="N12" s="18"/>
      <c r="O12" s="18"/>
      <c r="P12" s="18"/>
      <c r="Q12" s="18"/>
      <c r="R12" s="18"/>
      <c r="S12" s="18"/>
    </row>
    <row r="13" spans="2:19" x14ac:dyDescent="0.15">
      <c r="B13" s="22" t="s">
        <v>18</v>
      </c>
      <c r="C13" s="47">
        <v>2</v>
      </c>
      <c r="D13" s="47">
        <v>2</v>
      </c>
      <c r="E13" s="47">
        <v>2</v>
      </c>
      <c r="F13" s="15">
        <v>1.5</v>
      </c>
      <c r="G13" s="15">
        <v>3</v>
      </c>
      <c r="H13" s="15">
        <v>1.5</v>
      </c>
      <c r="I13" s="15">
        <v>3</v>
      </c>
      <c r="J13" s="15"/>
      <c r="K13" s="50"/>
      <c r="M13" s="17"/>
      <c r="N13" s="18"/>
      <c r="O13" s="18"/>
      <c r="P13" s="18"/>
      <c r="Q13" s="18"/>
      <c r="R13" s="18"/>
      <c r="S13" s="18"/>
    </row>
    <row r="14" spans="2:19" x14ac:dyDescent="0.15">
      <c r="B14" s="23" t="s">
        <v>20</v>
      </c>
      <c r="C14" s="47"/>
      <c r="D14" s="47"/>
      <c r="E14" s="47"/>
      <c r="F14" s="67"/>
      <c r="G14" s="67"/>
      <c r="H14" s="67"/>
      <c r="I14" s="67"/>
      <c r="J14" s="16"/>
      <c r="K14" s="15"/>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46">
        <v>80</v>
      </c>
      <c r="D16" s="46">
        <v>80</v>
      </c>
      <c r="E16" s="46">
        <v>80</v>
      </c>
      <c r="F16" s="46">
        <v>50</v>
      </c>
      <c r="G16" s="46">
        <v>95</v>
      </c>
      <c r="H16" s="46">
        <v>50</v>
      </c>
      <c r="I16" s="46">
        <v>95</v>
      </c>
      <c r="J16" s="16"/>
      <c r="K16" s="46" t="s">
        <v>104</v>
      </c>
      <c r="M16" s="17"/>
      <c r="N16" s="18"/>
      <c r="O16" s="18"/>
      <c r="P16" s="18"/>
      <c r="Q16" s="18"/>
      <c r="R16" s="18"/>
      <c r="S16" s="18"/>
    </row>
    <row r="17" spans="2:19" x14ac:dyDescent="0.15">
      <c r="B17" s="23" t="s">
        <v>23</v>
      </c>
      <c r="C17" s="67">
        <f>C16-C10-C11/52</f>
        <v>75.884615384615387</v>
      </c>
      <c r="D17" s="67">
        <f t="shared" ref="D17:E17" si="0">D16-D10-D11/52</f>
        <v>75.884615384615387</v>
      </c>
      <c r="E17" s="67">
        <f t="shared" si="0"/>
        <v>75.884615384615387</v>
      </c>
      <c r="F17" s="46">
        <v>50</v>
      </c>
      <c r="G17" s="46">
        <v>95</v>
      </c>
      <c r="H17" s="46">
        <v>50</v>
      </c>
      <c r="I17" s="46">
        <v>95</v>
      </c>
      <c r="J17" s="16"/>
      <c r="K17" s="46" t="s">
        <v>104</v>
      </c>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t="s">
        <v>31</v>
      </c>
      <c r="D19" s="47" t="s">
        <v>31</v>
      </c>
      <c r="E19" s="47" t="s">
        <v>31</v>
      </c>
      <c r="F19" s="47" t="s">
        <v>31</v>
      </c>
      <c r="G19" s="47" t="s">
        <v>31</v>
      </c>
      <c r="H19" s="47" t="s">
        <v>31</v>
      </c>
      <c r="I19" s="46" t="s">
        <v>31</v>
      </c>
      <c r="J19" s="16" t="s">
        <v>66</v>
      </c>
      <c r="K19" s="50"/>
      <c r="L19" s="3"/>
      <c r="M19" s="17"/>
      <c r="N19" s="18"/>
      <c r="O19" s="18"/>
      <c r="P19" s="18"/>
      <c r="Q19" s="18"/>
      <c r="R19" s="18"/>
      <c r="S19" s="18"/>
    </row>
    <row r="20" spans="2:19" x14ac:dyDescent="0.15">
      <c r="B20" s="22" t="s">
        <v>26</v>
      </c>
      <c r="C20" s="47" t="s">
        <v>31</v>
      </c>
      <c r="D20" s="47" t="s">
        <v>31</v>
      </c>
      <c r="E20" s="47" t="s">
        <v>31</v>
      </c>
      <c r="F20" s="47" t="s">
        <v>31</v>
      </c>
      <c r="G20" s="47" t="s">
        <v>31</v>
      </c>
      <c r="H20" s="47" t="s">
        <v>31</v>
      </c>
      <c r="I20" s="46" t="s">
        <v>31</v>
      </c>
      <c r="J20" s="16" t="s">
        <v>66</v>
      </c>
      <c r="K20" s="50"/>
      <c r="M20" s="17"/>
      <c r="N20" s="18"/>
      <c r="O20" s="18"/>
      <c r="P20" s="18"/>
      <c r="Q20" s="18"/>
      <c r="R20" s="18"/>
      <c r="S20" s="18"/>
    </row>
    <row r="21" spans="2:19" x14ac:dyDescent="0.15">
      <c r="B21" s="22" t="s">
        <v>27</v>
      </c>
      <c r="C21" s="47" t="s">
        <v>31</v>
      </c>
      <c r="D21" s="47" t="s">
        <v>31</v>
      </c>
      <c r="E21" s="47" t="s">
        <v>31</v>
      </c>
      <c r="F21" s="47" t="s">
        <v>31</v>
      </c>
      <c r="G21" s="47" t="s">
        <v>31</v>
      </c>
      <c r="H21" s="47" t="s">
        <v>31</v>
      </c>
      <c r="I21" s="46" t="s">
        <v>31</v>
      </c>
      <c r="J21" s="16" t="s">
        <v>66</v>
      </c>
      <c r="K21" s="50"/>
      <c r="M21" s="17"/>
      <c r="N21" s="18"/>
      <c r="O21" s="18"/>
      <c r="P21" s="18"/>
      <c r="Q21" s="18"/>
      <c r="R21" s="18"/>
      <c r="S21" s="18"/>
    </row>
    <row r="22" spans="2:19" x14ac:dyDescent="0.15">
      <c r="B22" s="22" t="s">
        <v>28</v>
      </c>
      <c r="C22" s="47" t="s">
        <v>31</v>
      </c>
      <c r="D22" s="47" t="s">
        <v>31</v>
      </c>
      <c r="E22" s="47" t="s">
        <v>31</v>
      </c>
      <c r="F22" s="47" t="s">
        <v>31</v>
      </c>
      <c r="G22" s="47" t="s">
        <v>31</v>
      </c>
      <c r="H22" s="47" t="s">
        <v>31</v>
      </c>
      <c r="I22" s="46" t="s">
        <v>31</v>
      </c>
      <c r="J22" s="16" t="s">
        <v>66</v>
      </c>
      <c r="K22" s="50"/>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2.7</v>
      </c>
      <c r="D30" s="49">
        <f>C30*0.96</f>
        <v>2.5920000000000001</v>
      </c>
      <c r="E30" s="49">
        <f>C30*0.89</f>
        <v>2.403</v>
      </c>
      <c r="F30" s="14">
        <v>1.2</v>
      </c>
      <c r="G30" s="14">
        <v>4</v>
      </c>
      <c r="H30" s="14">
        <v>1.2</v>
      </c>
      <c r="I30" s="71">
        <v>4</v>
      </c>
      <c r="J30" s="16" t="s">
        <v>105</v>
      </c>
      <c r="K30" s="50" t="s">
        <v>106</v>
      </c>
      <c r="M30" s="17"/>
      <c r="N30" s="35"/>
      <c r="O30" s="35"/>
      <c r="P30" s="35"/>
      <c r="Q30" s="35"/>
      <c r="R30" s="18"/>
      <c r="S30" s="18"/>
    </row>
    <row r="31" spans="2:19" x14ac:dyDescent="0.15">
      <c r="B31" s="22" t="s">
        <v>40</v>
      </c>
      <c r="C31" s="56">
        <v>0.3</v>
      </c>
      <c r="D31" s="56">
        <v>0.3</v>
      </c>
      <c r="E31" s="56">
        <v>0.3</v>
      </c>
      <c r="F31" s="56">
        <v>0.2</v>
      </c>
      <c r="G31" s="56">
        <v>0.5</v>
      </c>
      <c r="H31" s="56">
        <v>0.2</v>
      </c>
      <c r="I31" s="56">
        <v>0.5</v>
      </c>
      <c r="J31" s="16"/>
      <c r="K31" s="16">
        <v>9</v>
      </c>
      <c r="M31" s="17"/>
      <c r="N31" s="35"/>
      <c r="O31" s="35"/>
      <c r="P31" s="35"/>
      <c r="Q31" s="35"/>
      <c r="R31" s="18"/>
      <c r="S31" s="18"/>
    </row>
    <row r="32" spans="2:19" x14ac:dyDescent="0.15">
      <c r="B32" s="22" t="s">
        <v>41</v>
      </c>
      <c r="C32" s="56">
        <v>0.7</v>
      </c>
      <c r="D32" s="56">
        <v>0.7</v>
      </c>
      <c r="E32" s="56">
        <v>0.7</v>
      </c>
      <c r="F32" s="56">
        <v>0.5</v>
      </c>
      <c r="G32" s="56">
        <v>0.8</v>
      </c>
      <c r="H32" s="56">
        <v>0.5</v>
      </c>
      <c r="I32" s="56">
        <v>0.8</v>
      </c>
      <c r="J32" s="16"/>
      <c r="K32" s="16">
        <v>9</v>
      </c>
      <c r="M32" s="17"/>
      <c r="N32" s="35"/>
      <c r="O32" s="35"/>
      <c r="P32" s="35"/>
      <c r="Q32" s="35"/>
      <c r="R32" s="18"/>
      <c r="S32" s="18"/>
    </row>
    <row r="33" spans="1:19" x14ac:dyDescent="0.15">
      <c r="B33" s="22" t="s">
        <v>42</v>
      </c>
      <c r="C33" s="48">
        <v>53000</v>
      </c>
      <c r="D33" s="48">
        <f>MROUND(C33*0.96,100)</f>
        <v>50900</v>
      </c>
      <c r="E33" s="48">
        <f>MROUND(C33*0.89,100)</f>
        <v>47200</v>
      </c>
      <c r="F33" s="36">
        <f>MROUND(C33*0.75,100)</f>
        <v>39800</v>
      </c>
      <c r="G33" s="36">
        <f>MROUND(C33*1.25,100)</f>
        <v>66300</v>
      </c>
      <c r="H33" s="36">
        <f>MROUND(E33*0.75,100)</f>
        <v>35400</v>
      </c>
      <c r="I33" s="36">
        <f>MROUND(E33*1.25,100)</f>
        <v>59000</v>
      </c>
      <c r="J33" s="16" t="s">
        <v>32</v>
      </c>
      <c r="K33" s="50" t="s">
        <v>106</v>
      </c>
      <c r="M33" s="17"/>
      <c r="N33" s="35"/>
      <c r="O33" s="35"/>
      <c r="P33" s="35"/>
      <c r="Q33" s="35"/>
      <c r="R33" s="18"/>
      <c r="S33" s="18"/>
    </row>
    <row r="34" spans="1:19" x14ac:dyDescent="0.15">
      <c r="B34" s="22" t="s">
        <v>45</v>
      </c>
      <c r="C34" s="49">
        <v>0.5</v>
      </c>
      <c r="D34" s="64">
        <f>C34*0.96</f>
        <v>0.48</v>
      </c>
      <c r="E34" s="64">
        <f>C34*0.89</f>
        <v>0.44500000000000001</v>
      </c>
      <c r="F34" s="70">
        <f>C34*0.75</f>
        <v>0.375</v>
      </c>
      <c r="G34" s="70">
        <f>C34*1.25</f>
        <v>0.625</v>
      </c>
      <c r="H34" s="70">
        <f>E34*0.75</f>
        <v>0.33374999999999999</v>
      </c>
      <c r="I34" s="70">
        <f>E34*1.25</f>
        <v>0.55625000000000002</v>
      </c>
      <c r="J34" s="16" t="s">
        <v>32</v>
      </c>
      <c r="K34" s="50" t="s">
        <v>19</v>
      </c>
      <c r="M34" s="17"/>
      <c r="N34" s="35"/>
      <c r="O34" s="35"/>
      <c r="P34" s="35"/>
      <c r="Q34" s="35"/>
      <c r="R34" s="18"/>
      <c r="S34" s="18"/>
    </row>
    <row r="35" spans="1:19" x14ac:dyDescent="0.15">
      <c r="B35" s="22" t="s">
        <v>46</v>
      </c>
      <c r="C35" s="47" t="s">
        <v>31</v>
      </c>
      <c r="D35" s="47" t="s">
        <v>31</v>
      </c>
      <c r="E35" s="47" t="s">
        <v>31</v>
      </c>
      <c r="F35" s="47" t="s">
        <v>31</v>
      </c>
      <c r="G35" s="47" t="s">
        <v>31</v>
      </c>
      <c r="H35" s="47" t="s">
        <v>31</v>
      </c>
      <c r="I35" s="36" t="s">
        <v>31</v>
      </c>
      <c r="J35" s="16"/>
      <c r="K35" s="50"/>
      <c r="M35" s="261"/>
      <c r="N35" s="261"/>
      <c r="O35" s="261"/>
      <c r="P35" s="261"/>
      <c r="Q35" s="261"/>
      <c r="R35" s="261"/>
      <c r="S35" s="261"/>
    </row>
    <row r="36" spans="1:19" x14ac:dyDescent="0.15">
      <c r="A36" s="3"/>
      <c r="L36" s="4"/>
    </row>
    <row r="37" spans="1:19" s="1" customFormat="1" ht="12" x14ac:dyDescent="0.15">
      <c r="A37" s="3" t="s">
        <v>50</v>
      </c>
      <c r="C37" s="40"/>
      <c r="D37" s="40"/>
      <c r="E37" s="40"/>
      <c r="F37" s="40"/>
      <c r="G37" s="40"/>
    </row>
    <row r="38" spans="1:19" x14ac:dyDescent="0.15">
      <c r="A38" s="53">
        <v>1</v>
      </c>
      <c r="B38" s="53" t="s">
        <v>51</v>
      </c>
    </row>
    <row r="39" spans="1:19" x14ac:dyDescent="0.15">
      <c r="A39" s="53">
        <v>2</v>
      </c>
      <c r="B39" s="53" t="s">
        <v>87</v>
      </c>
    </row>
    <row r="40" spans="1:19" s="1" customFormat="1" x14ac:dyDescent="0.15">
      <c r="A40" s="53">
        <v>3</v>
      </c>
      <c r="B40" s="53" t="s">
        <v>88</v>
      </c>
      <c r="M40" s="4"/>
      <c r="N40" s="4"/>
      <c r="O40" s="4"/>
      <c r="P40" s="4"/>
      <c r="Q40" s="4"/>
      <c r="R40" s="4"/>
      <c r="S40" s="4"/>
    </row>
    <row r="41" spans="1:19" s="1" customFormat="1" x14ac:dyDescent="0.15">
      <c r="A41" s="53">
        <v>4</v>
      </c>
      <c r="B41" s="1" t="s">
        <v>52</v>
      </c>
      <c r="M41" s="4"/>
      <c r="N41" s="4"/>
      <c r="O41" s="4"/>
      <c r="P41" s="4"/>
      <c r="Q41" s="4"/>
      <c r="R41" s="4"/>
      <c r="S41" s="4"/>
    </row>
    <row r="42" spans="1:19" s="1" customFormat="1" x14ac:dyDescent="0.15">
      <c r="A42" s="53">
        <v>5</v>
      </c>
      <c r="B42" s="1" t="s">
        <v>54</v>
      </c>
      <c r="M42" s="4"/>
      <c r="N42" s="4"/>
      <c r="O42" s="4"/>
      <c r="P42" s="4"/>
      <c r="Q42" s="4"/>
      <c r="R42" s="4"/>
      <c r="S42" s="4"/>
    </row>
    <row r="43" spans="1:19" s="1" customFormat="1" x14ac:dyDescent="0.15">
      <c r="A43" s="53">
        <v>6</v>
      </c>
      <c r="B43" s="1" t="s">
        <v>89</v>
      </c>
      <c r="M43" s="4"/>
      <c r="N43" s="4"/>
      <c r="O43" s="4"/>
      <c r="P43" s="4"/>
      <c r="Q43" s="4"/>
      <c r="R43" s="4"/>
      <c r="S43" s="4"/>
    </row>
    <row r="44" spans="1:19" s="1" customFormat="1" x14ac:dyDescent="0.15">
      <c r="A44" s="53">
        <v>7</v>
      </c>
      <c r="B44" s="1" t="s">
        <v>107</v>
      </c>
      <c r="M44" s="4"/>
      <c r="N44" s="4"/>
      <c r="O44" s="4"/>
      <c r="P44" s="4"/>
      <c r="Q44" s="4"/>
      <c r="R44" s="4"/>
      <c r="S44" s="4"/>
    </row>
    <row r="45" spans="1:19" s="1" customFormat="1" ht="24.75" customHeight="1" x14ac:dyDescent="0.15">
      <c r="A45" s="53">
        <v>8</v>
      </c>
      <c r="B45" s="255" t="s">
        <v>91</v>
      </c>
      <c r="C45" s="255"/>
      <c r="D45" s="255"/>
      <c r="E45" s="255"/>
      <c r="F45" s="255"/>
      <c r="G45" s="255"/>
      <c r="H45" s="255"/>
      <c r="I45" s="255"/>
      <c r="J45" s="255"/>
      <c r="K45" s="255"/>
      <c r="M45" s="4"/>
      <c r="N45" s="4"/>
      <c r="O45" s="4"/>
      <c r="P45" s="4"/>
      <c r="Q45" s="4"/>
      <c r="R45" s="4"/>
      <c r="S45" s="4"/>
    </row>
    <row r="46" spans="1:19" s="1" customFormat="1" x14ac:dyDescent="0.15">
      <c r="A46" s="53">
        <v>9</v>
      </c>
      <c r="B46" s="53" t="s">
        <v>94</v>
      </c>
      <c r="M46" s="4"/>
      <c r="N46" s="4"/>
      <c r="O46" s="4"/>
      <c r="P46" s="4"/>
      <c r="Q46" s="4"/>
      <c r="R46" s="4"/>
      <c r="S46" s="4"/>
    </row>
    <row r="47" spans="1:19" s="1" customFormat="1" x14ac:dyDescent="0.15">
      <c r="A47" s="53">
        <v>10</v>
      </c>
      <c r="B47" s="53" t="s">
        <v>95</v>
      </c>
      <c r="M47" s="4"/>
      <c r="N47" s="4"/>
      <c r="O47" s="4"/>
      <c r="P47" s="4"/>
      <c r="Q47" s="4"/>
      <c r="R47" s="4"/>
      <c r="S47" s="4"/>
    </row>
    <row r="48" spans="1:19" s="1" customFormat="1" x14ac:dyDescent="0.15">
      <c r="A48" s="3" t="s">
        <v>59</v>
      </c>
      <c r="M48" s="4"/>
      <c r="N48" s="4"/>
      <c r="O48" s="4"/>
      <c r="P48" s="4"/>
      <c r="Q48" s="4"/>
      <c r="R48" s="4"/>
      <c r="S48" s="4"/>
    </row>
    <row r="49" spans="1:19" s="1" customFormat="1" x14ac:dyDescent="0.15">
      <c r="A49" s="52" t="s">
        <v>13</v>
      </c>
      <c r="B49" s="53" t="s">
        <v>96</v>
      </c>
      <c r="C49" s="53"/>
      <c r="D49" s="53"/>
      <c r="E49" s="53"/>
      <c r="F49" s="53"/>
      <c r="G49" s="53"/>
      <c r="H49" s="53"/>
      <c r="I49" s="53"/>
      <c r="J49" s="53"/>
      <c r="K49" s="53"/>
      <c r="M49" s="4"/>
      <c r="N49" s="4"/>
      <c r="O49" s="4"/>
      <c r="P49" s="4"/>
      <c r="Q49" s="4"/>
      <c r="R49" s="4"/>
      <c r="S49" s="4"/>
    </row>
    <row r="50" spans="1:19" s="1" customFormat="1" ht="13.5" customHeight="1" x14ac:dyDescent="0.15">
      <c r="A50" s="52" t="s">
        <v>61</v>
      </c>
      <c r="B50" s="53" t="s">
        <v>108</v>
      </c>
      <c r="C50" s="53"/>
      <c r="D50" s="53"/>
      <c r="E50" s="53"/>
      <c r="F50" s="53"/>
      <c r="G50" s="53"/>
      <c r="H50" s="53"/>
      <c r="I50" s="53"/>
      <c r="J50" s="53"/>
      <c r="K50" s="53"/>
      <c r="M50" s="4"/>
      <c r="N50" s="4"/>
      <c r="O50" s="4"/>
      <c r="P50" s="4"/>
      <c r="Q50" s="4"/>
      <c r="R50" s="4"/>
      <c r="S50" s="4"/>
    </row>
    <row r="51" spans="1:19" s="1" customFormat="1" x14ac:dyDescent="0.15">
      <c r="A51" s="52" t="s">
        <v>32</v>
      </c>
      <c r="B51" s="255" t="s">
        <v>75</v>
      </c>
      <c r="C51" s="255"/>
      <c r="D51" s="255"/>
      <c r="E51" s="255"/>
      <c r="F51" s="255"/>
      <c r="G51" s="255"/>
      <c r="H51" s="255"/>
      <c r="I51" s="255"/>
      <c r="J51" s="255"/>
      <c r="K51" s="255"/>
      <c r="M51" s="4"/>
      <c r="N51" s="4"/>
      <c r="O51" s="4"/>
      <c r="P51" s="4"/>
      <c r="Q51" s="4"/>
      <c r="R51" s="4"/>
      <c r="S51" s="4"/>
    </row>
    <row r="52" spans="1:19" s="1" customFormat="1" ht="26.25" customHeight="1" x14ac:dyDescent="0.15">
      <c r="A52" s="52" t="s">
        <v>64</v>
      </c>
      <c r="B52" s="255" t="s">
        <v>109</v>
      </c>
      <c r="C52" s="255"/>
      <c r="D52" s="255"/>
      <c r="E52" s="255"/>
      <c r="F52" s="255"/>
      <c r="G52" s="255"/>
      <c r="H52" s="255"/>
      <c r="I52" s="255"/>
      <c r="J52" s="255"/>
      <c r="K52" s="255"/>
      <c r="M52" s="4"/>
      <c r="N52" s="4"/>
      <c r="O52" s="4"/>
      <c r="P52" s="4"/>
      <c r="Q52" s="4"/>
      <c r="R52" s="4"/>
      <c r="S52" s="4"/>
    </row>
    <row r="53" spans="1:19" s="1" customFormat="1" ht="27" customHeight="1" x14ac:dyDescent="0.15">
      <c r="A53" s="52" t="s">
        <v>66</v>
      </c>
      <c r="B53" s="255" t="s">
        <v>110</v>
      </c>
      <c r="C53" s="255"/>
      <c r="D53" s="255"/>
      <c r="E53" s="255"/>
      <c r="F53" s="255"/>
      <c r="G53" s="255"/>
      <c r="H53" s="255"/>
      <c r="I53" s="255"/>
      <c r="J53" s="255"/>
      <c r="K53" s="255"/>
      <c r="M53" s="4"/>
      <c r="N53" s="4"/>
      <c r="O53" s="4"/>
      <c r="P53" s="4"/>
      <c r="Q53" s="4"/>
      <c r="R53" s="4"/>
      <c r="S53" s="4"/>
    </row>
    <row r="54" spans="1:19" s="1" customFormat="1" x14ac:dyDescent="0.15">
      <c r="A54" s="52" t="s">
        <v>77</v>
      </c>
      <c r="B54" s="53" t="s">
        <v>76</v>
      </c>
      <c r="C54" s="53"/>
      <c r="D54" s="53"/>
      <c r="E54" s="53"/>
      <c r="F54" s="53"/>
      <c r="G54" s="53"/>
      <c r="H54" s="53"/>
      <c r="I54" s="53"/>
      <c r="J54" s="53"/>
      <c r="K54" s="53"/>
      <c r="M54" s="4"/>
      <c r="N54" s="4"/>
      <c r="O54" s="4"/>
      <c r="P54" s="4"/>
      <c r="Q54" s="4"/>
      <c r="R54" s="4"/>
      <c r="S54" s="4"/>
    </row>
    <row r="55" spans="1:19" s="1" customFormat="1" x14ac:dyDescent="0.15">
      <c r="A55" s="41"/>
      <c r="M55" s="4"/>
      <c r="N55" s="4"/>
      <c r="O55" s="4"/>
      <c r="P55" s="4"/>
      <c r="Q55" s="4"/>
      <c r="R55" s="4"/>
      <c r="S55" s="4"/>
    </row>
    <row r="56" spans="1:19" s="1" customFormat="1" x14ac:dyDescent="0.15">
      <c r="A56" s="41"/>
      <c r="M56" s="4"/>
      <c r="N56" s="4"/>
      <c r="O56" s="4"/>
      <c r="P56" s="4"/>
      <c r="Q56" s="4"/>
      <c r="R56" s="4"/>
      <c r="S56" s="4"/>
    </row>
    <row r="58" spans="1:19" s="1" customFormat="1" x14ac:dyDescent="0.15">
      <c r="B58" s="4"/>
      <c r="M58" s="4"/>
      <c r="N58" s="4"/>
      <c r="O58" s="4"/>
      <c r="P58" s="4"/>
      <c r="Q58" s="4"/>
      <c r="R58" s="4"/>
      <c r="S58" s="4"/>
    </row>
    <row r="59" spans="1:19" s="1" customFormat="1" x14ac:dyDescent="0.15">
      <c r="B59" s="4"/>
      <c r="M59" s="4"/>
      <c r="N59" s="4"/>
      <c r="O59" s="4"/>
      <c r="P59" s="4"/>
      <c r="Q59" s="4"/>
      <c r="R59" s="4"/>
      <c r="S59" s="4"/>
    </row>
  </sheetData>
  <mergeCells count="13">
    <mergeCell ref="N6:S6"/>
    <mergeCell ref="C3:K3"/>
    <mergeCell ref="N3:S3"/>
    <mergeCell ref="F4:G4"/>
    <mergeCell ref="H4:I4"/>
    <mergeCell ref="M5:S5"/>
    <mergeCell ref="B53:K53"/>
    <mergeCell ref="M23:S23"/>
    <mergeCell ref="M28:S28"/>
    <mergeCell ref="M35:S35"/>
    <mergeCell ref="B45:K45"/>
    <mergeCell ref="B51:K51"/>
    <mergeCell ref="B52:K52"/>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5E12-B600-4494-B13A-85DC547141E1}">
  <sheetPr>
    <tabColor theme="4"/>
  </sheetPr>
  <dimension ref="A1:S59"/>
  <sheetViews>
    <sheetView zoomScale="85" zoomScaleNormal="85" zoomScaleSheetLayoutView="120" workbookViewId="0">
      <selection activeCell="M53" sqref="M53"/>
    </sheetView>
  </sheetViews>
  <sheetFormatPr baseColWidth="10" defaultColWidth="9.1640625" defaultRowHeight="14" x14ac:dyDescent="0.15"/>
  <cols>
    <col min="1" max="1" width="3" style="1" customWidth="1"/>
    <col min="2" max="2" width="35.1640625" style="1" customWidth="1"/>
    <col min="3" max="5" width="10.83203125" style="1" customWidth="1"/>
    <col min="6" max="9" width="9.5" style="1" customWidth="1"/>
    <col min="10" max="10" width="6.5" style="1" customWidth="1"/>
    <col min="11" max="11" width="7" style="1" customWidth="1"/>
    <col min="12" max="12" width="6.83203125" style="1" customWidth="1"/>
    <col min="13" max="13" width="30.1640625" style="4" customWidth="1"/>
    <col min="14" max="14" width="10.1640625" style="4" customWidth="1"/>
    <col min="15" max="15" width="9.83203125" style="4" customWidth="1"/>
    <col min="16" max="16" width="10" style="4" customWidth="1"/>
    <col min="17" max="17" width="7.83203125" style="4" customWidth="1"/>
    <col min="18" max="18" width="7.1640625" style="4" customWidth="1"/>
    <col min="19" max="19" width="7.83203125" style="4" customWidth="1"/>
    <col min="20" max="16384" width="9.1640625" style="4"/>
  </cols>
  <sheetData>
    <row r="1" spans="2:19" ht="20" x14ac:dyDescent="0.2">
      <c r="B1" s="2" t="s">
        <v>0</v>
      </c>
    </row>
    <row r="3" spans="2:19" ht="15" customHeight="1" x14ac:dyDescent="0.15">
      <c r="B3" s="5" t="s">
        <v>1</v>
      </c>
      <c r="C3" s="256" t="s">
        <v>111</v>
      </c>
      <c r="D3" s="256"/>
      <c r="E3" s="256"/>
      <c r="F3" s="256"/>
      <c r="G3" s="256"/>
      <c r="H3" s="256"/>
      <c r="I3" s="256"/>
      <c r="J3" s="256"/>
      <c r="K3" s="257"/>
      <c r="M3" s="63"/>
      <c r="N3" s="258"/>
      <c r="O3" s="259"/>
      <c r="P3" s="259"/>
      <c r="Q3" s="259"/>
      <c r="R3" s="259"/>
      <c r="S3" s="259"/>
    </row>
    <row r="4" spans="2:19" ht="16.5" customHeight="1" x14ac:dyDescent="0.15">
      <c r="B4" s="6"/>
      <c r="C4" s="7">
        <v>2020</v>
      </c>
      <c r="D4" s="7">
        <v>2030</v>
      </c>
      <c r="E4" s="7">
        <v>2050</v>
      </c>
      <c r="F4" s="260" t="s">
        <v>3</v>
      </c>
      <c r="G4" s="257"/>
      <c r="H4" s="260" t="s">
        <v>4</v>
      </c>
      <c r="I4" s="257"/>
      <c r="J4" s="7" t="s">
        <v>5</v>
      </c>
      <c r="K4" s="7" t="s">
        <v>6</v>
      </c>
      <c r="M4" s="8"/>
      <c r="N4" s="9"/>
      <c r="O4" s="9"/>
      <c r="P4" s="9"/>
      <c r="Q4" s="9"/>
      <c r="R4" s="9"/>
      <c r="S4" s="9"/>
    </row>
    <row r="5" spans="2:19" ht="15" customHeight="1" x14ac:dyDescent="0.15">
      <c r="B5" s="10" t="s">
        <v>7</v>
      </c>
      <c r="C5" s="11"/>
      <c r="D5" s="11"/>
      <c r="E5" s="11"/>
      <c r="F5" s="62" t="s">
        <v>8</v>
      </c>
      <c r="G5" s="62" t="s">
        <v>9</v>
      </c>
      <c r="H5" s="62" t="s">
        <v>8</v>
      </c>
      <c r="I5" s="62" t="s">
        <v>9</v>
      </c>
      <c r="J5" s="11"/>
      <c r="K5" s="12"/>
      <c r="M5" s="261"/>
      <c r="N5" s="261"/>
      <c r="O5" s="261"/>
      <c r="P5" s="261"/>
      <c r="Q5" s="261"/>
      <c r="R5" s="261"/>
      <c r="S5" s="261"/>
    </row>
    <row r="6" spans="2:19" ht="15" customHeight="1" x14ac:dyDescent="0.15">
      <c r="B6" s="13" t="s">
        <v>10</v>
      </c>
      <c r="C6" s="47">
        <v>250</v>
      </c>
      <c r="D6" s="47">
        <v>250</v>
      </c>
      <c r="E6" s="47">
        <v>250</v>
      </c>
      <c r="F6" s="47">
        <v>100</v>
      </c>
      <c r="G6" s="47">
        <v>500</v>
      </c>
      <c r="H6" s="47">
        <v>100</v>
      </c>
      <c r="I6" s="47">
        <v>500</v>
      </c>
      <c r="J6" s="15" t="s">
        <v>13</v>
      </c>
      <c r="K6" s="50" t="s">
        <v>112</v>
      </c>
      <c r="M6" s="17"/>
      <c r="N6" s="253"/>
      <c r="O6" s="254"/>
      <c r="P6" s="254"/>
      <c r="Q6" s="254"/>
      <c r="R6" s="254"/>
      <c r="S6" s="254"/>
    </row>
    <row r="7" spans="2:19" ht="15" customHeight="1" x14ac:dyDescent="0.15">
      <c r="B7" s="13" t="s">
        <v>11</v>
      </c>
      <c r="C7" s="47">
        <v>1000</v>
      </c>
      <c r="D7" s="47">
        <v>1000</v>
      </c>
      <c r="E7" s="47">
        <v>1000</v>
      </c>
      <c r="F7" s="47">
        <v>100</v>
      </c>
      <c r="G7" s="47">
        <v>4000</v>
      </c>
      <c r="H7" s="47">
        <v>100</v>
      </c>
      <c r="I7" s="47">
        <v>4000</v>
      </c>
      <c r="J7" s="15"/>
      <c r="K7" s="50" t="s">
        <v>112</v>
      </c>
      <c r="M7" s="17"/>
      <c r="N7" s="60"/>
      <c r="O7" s="61"/>
      <c r="P7" s="61"/>
      <c r="Q7" s="61"/>
      <c r="R7" s="61"/>
      <c r="S7" s="61"/>
    </row>
    <row r="8" spans="2:19" x14ac:dyDescent="0.15">
      <c r="B8" s="13" t="s">
        <v>12</v>
      </c>
      <c r="C8" s="47">
        <v>80</v>
      </c>
      <c r="D8" s="47">
        <v>80</v>
      </c>
      <c r="E8" s="47">
        <v>80</v>
      </c>
      <c r="F8" s="47">
        <v>75</v>
      </c>
      <c r="G8" s="47">
        <v>82</v>
      </c>
      <c r="H8" s="47">
        <v>75</v>
      </c>
      <c r="I8" s="47">
        <v>82</v>
      </c>
      <c r="J8" s="15"/>
      <c r="K8" s="50" t="s">
        <v>113</v>
      </c>
      <c r="M8" s="17"/>
      <c r="N8" s="18"/>
      <c r="O8" s="18"/>
      <c r="P8" s="18"/>
      <c r="Q8" s="18"/>
      <c r="R8" s="18"/>
      <c r="S8" s="18"/>
    </row>
    <row r="9" spans="2:19" x14ac:dyDescent="0.15">
      <c r="B9" s="19" t="s">
        <v>14</v>
      </c>
      <c r="C9" s="47">
        <v>80</v>
      </c>
      <c r="D9" s="47">
        <v>80</v>
      </c>
      <c r="E9" s="47">
        <v>80</v>
      </c>
      <c r="F9" s="47">
        <v>75</v>
      </c>
      <c r="G9" s="47">
        <v>82</v>
      </c>
      <c r="H9" s="47">
        <v>75</v>
      </c>
      <c r="I9" s="47">
        <v>82</v>
      </c>
      <c r="J9" s="20"/>
      <c r="K9" s="50" t="s">
        <v>113</v>
      </c>
      <c r="M9" s="17"/>
      <c r="N9" s="18"/>
      <c r="O9" s="18"/>
      <c r="P9" s="18"/>
      <c r="Q9" s="18"/>
      <c r="R9" s="18"/>
      <c r="S9" s="18"/>
    </row>
    <row r="10" spans="2:19" x14ac:dyDescent="0.15">
      <c r="B10" s="13" t="s">
        <v>15</v>
      </c>
      <c r="C10" s="47">
        <v>4</v>
      </c>
      <c r="D10" s="47">
        <v>4</v>
      </c>
      <c r="E10" s="47">
        <v>4</v>
      </c>
      <c r="F10" s="47">
        <v>2</v>
      </c>
      <c r="G10" s="47">
        <v>7</v>
      </c>
      <c r="H10" s="47">
        <v>2</v>
      </c>
      <c r="I10" s="47">
        <v>7</v>
      </c>
      <c r="J10" s="15"/>
      <c r="K10" s="50">
        <v>5</v>
      </c>
      <c r="M10" s="1"/>
      <c r="N10" s="21"/>
      <c r="O10" s="21"/>
      <c r="P10" s="21"/>
      <c r="Q10" s="21"/>
      <c r="R10" s="21"/>
      <c r="S10" s="18"/>
    </row>
    <row r="11" spans="2:19" x14ac:dyDescent="0.15">
      <c r="B11" s="22" t="s">
        <v>16</v>
      </c>
      <c r="C11" s="47">
        <v>3</v>
      </c>
      <c r="D11" s="47">
        <v>3</v>
      </c>
      <c r="E11" s="47">
        <v>3</v>
      </c>
      <c r="F11" s="47">
        <v>2</v>
      </c>
      <c r="G11" s="47">
        <v>6</v>
      </c>
      <c r="H11" s="47">
        <v>2</v>
      </c>
      <c r="I11" s="47">
        <v>6</v>
      </c>
      <c r="J11" s="15"/>
      <c r="K11" s="50">
        <v>5</v>
      </c>
      <c r="M11" s="1"/>
      <c r="N11" s="21"/>
      <c r="O11" s="21"/>
      <c r="P11" s="21"/>
      <c r="Q11" s="21"/>
      <c r="R11" s="21"/>
      <c r="S11" s="18"/>
    </row>
    <row r="12" spans="2:19" x14ac:dyDescent="0.15">
      <c r="B12" s="22" t="s">
        <v>17</v>
      </c>
      <c r="C12" s="47">
        <v>50</v>
      </c>
      <c r="D12" s="47">
        <v>50</v>
      </c>
      <c r="E12" s="47">
        <v>50</v>
      </c>
      <c r="F12" s="47">
        <v>40</v>
      </c>
      <c r="G12" s="47">
        <v>90</v>
      </c>
      <c r="H12" s="47">
        <v>40</v>
      </c>
      <c r="I12" s="47">
        <v>90</v>
      </c>
      <c r="J12" s="15"/>
      <c r="K12" s="50">
        <v>1</v>
      </c>
      <c r="M12" s="17"/>
      <c r="N12" s="18"/>
      <c r="O12" s="18"/>
      <c r="P12" s="18"/>
      <c r="Q12" s="18"/>
      <c r="R12" s="18"/>
      <c r="S12" s="18"/>
    </row>
    <row r="13" spans="2:19" x14ac:dyDescent="0.15">
      <c r="B13" s="22" t="s">
        <v>18</v>
      </c>
      <c r="C13" s="14">
        <v>4.3</v>
      </c>
      <c r="D13" s="14">
        <v>4.3</v>
      </c>
      <c r="E13" s="14">
        <v>4.3</v>
      </c>
      <c r="F13" s="71">
        <f>C13*0.5</f>
        <v>2.15</v>
      </c>
      <c r="G13" s="71">
        <f>C13*1.5</f>
        <v>6.4499999999999993</v>
      </c>
      <c r="H13" s="71">
        <f>E13*0.5</f>
        <v>2.15</v>
      </c>
      <c r="I13" s="71">
        <f>E13*1.5</f>
        <v>6.4499999999999993</v>
      </c>
      <c r="J13" s="15" t="s">
        <v>61</v>
      </c>
      <c r="K13" s="50">
        <v>1</v>
      </c>
      <c r="M13" s="17"/>
      <c r="N13" s="18"/>
      <c r="O13" s="18"/>
      <c r="P13" s="18"/>
      <c r="Q13" s="18"/>
      <c r="R13" s="18"/>
      <c r="S13" s="18"/>
    </row>
    <row r="14" spans="2:19" x14ac:dyDescent="0.15">
      <c r="B14" s="23" t="s">
        <v>20</v>
      </c>
      <c r="C14" s="47">
        <v>30</v>
      </c>
      <c r="D14" s="47">
        <v>30</v>
      </c>
      <c r="E14" s="47">
        <v>30</v>
      </c>
      <c r="F14" s="31">
        <f>C14*0.5</f>
        <v>15</v>
      </c>
      <c r="G14" s="31">
        <f>C14*1.5</f>
        <v>45</v>
      </c>
      <c r="H14" s="31">
        <f>E14*0.5</f>
        <v>15</v>
      </c>
      <c r="I14" s="31">
        <f>E14*1.5</f>
        <v>45</v>
      </c>
      <c r="J14" s="16"/>
      <c r="K14" s="15">
        <v>1</v>
      </c>
      <c r="M14" s="17"/>
      <c r="N14" s="18"/>
      <c r="O14" s="18"/>
      <c r="P14" s="18"/>
      <c r="Q14" s="18"/>
      <c r="R14" s="18"/>
      <c r="S14" s="18"/>
    </row>
    <row r="15" spans="2:19" x14ac:dyDescent="0.15">
      <c r="B15" s="42" t="s">
        <v>21</v>
      </c>
      <c r="C15" s="43"/>
      <c r="D15" s="43"/>
      <c r="E15" s="43"/>
      <c r="F15" s="43"/>
      <c r="G15" s="43"/>
      <c r="H15" s="43"/>
      <c r="I15" s="44"/>
      <c r="J15" s="44"/>
      <c r="K15" s="45"/>
      <c r="M15" s="17"/>
      <c r="N15" s="18"/>
      <c r="O15" s="18"/>
      <c r="P15" s="18"/>
      <c r="Q15" s="18"/>
      <c r="R15" s="18"/>
      <c r="S15" s="18"/>
    </row>
    <row r="16" spans="2:19" x14ac:dyDescent="0.15">
      <c r="B16" s="23" t="s">
        <v>22</v>
      </c>
      <c r="C16" s="31" t="s">
        <v>31</v>
      </c>
      <c r="D16" s="31" t="s">
        <v>31</v>
      </c>
      <c r="E16" s="31" t="s">
        <v>31</v>
      </c>
      <c r="F16" s="31" t="s">
        <v>31</v>
      </c>
      <c r="G16" s="31" t="s">
        <v>31</v>
      </c>
      <c r="H16" s="31" t="s">
        <v>31</v>
      </c>
      <c r="I16" s="31" t="s">
        <v>31</v>
      </c>
      <c r="J16" s="16"/>
      <c r="K16" s="46"/>
      <c r="M16" s="17"/>
      <c r="N16" s="18"/>
      <c r="O16" s="18"/>
      <c r="P16" s="18"/>
      <c r="Q16" s="18"/>
      <c r="R16" s="18"/>
      <c r="S16" s="18"/>
    </row>
    <row r="17" spans="2:19" x14ac:dyDescent="0.15">
      <c r="B17" s="23" t="s">
        <v>23</v>
      </c>
      <c r="C17" s="31" t="s">
        <v>31</v>
      </c>
      <c r="D17" s="31" t="s">
        <v>31</v>
      </c>
      <c r="E17" s="31" t="s">
        <v>31</v>
      </c>
      <c r="F17" s="31" t="s">
        <v>31</v>
      </c>
      <c r="G17" s="31" t="s">
        <v>31</v>
      </c>
      <c r="H17" s="31" t="s">
        <v>31</v>
      </c>
      <c r="I17" s="31" t="s">
        <v>31</v>
      </c>
      <c r="J17" s="16"/>
      <c r="K17" s="46"/>
      <c r="M17" s="17"/>
      <c r="N17" s="18"/>
      <c r="O17" s="18"/>
      <c r="P17" s="18"/>
      <c r="Q17" s="18"/>
      <c r="R17" s="18"/>
      <c r="S17" s="18"/>
    </row>
    <row r="18" spans="2:19" x14ac:dyDescent="0.15">
      <c r="B18" s="24" t="s">
        <v>24</v>
      </c>
      <c r="C18" s="25"/>
      <c r="D18" s="25"/>
      <c r="E18" s="25"/>
      <c r="F18" s="25"/>
      <c r="G18" s="25"/>
      <c r="H18" s="25"/>
      <c r="I18" s="26"/>
      <c r="J18" s="26"/>
      <c r="K18" s="27"/>
      <c r="M18" s="17"/>
      <c r="N18" s="18"/>
      <c r="O18" s="18"/>
      <c r="P18" s="18"/>
      <c r="Q18" s="18"/>
      <c r="R18" s="18"/>
      <c r="S18" s="18"/>
    </row>
    <row r="19" spans="2:19" x14ac:dyDescent="0.15">
      <c r="B19" s="22" t="s">
        <v>25</v>
      </c>
      <c r="C19" s="47">
        <v>50</v>
      </c>
      <c r="D19" s="47">
        <v>50</v>
      </c>
      <c r="E19" s="47">
        <v>50</v>
      </c>
      <c r="F19" s="47">
        <v>10</v>
      </c>
      <c r="G19" s="47">
        <v>100</v>
      </c>
      <c r="H19" s="47">
        <v>10</v>
      </c>
      <c r="I19" s="68">
        <v>100</v>
      </c>
      <c r="J19" s="16"/>
      <c r="K19" s="50" t="s">
        <v>114</v>
      </c>
      <c r="L19" s="3"/>
      <c r="M19" s="17"/>
      <c r="N19" s="18"/>
      <c r="O19" s="18"/>
      <c r="P19" s="18"/>
      <c r="Q19" s="18"/>
      <c r="R19" s="18"/>
      <c r="S19" s="18"/>
    </row>
    <row r="20" spans="2:19" x14ac:dyDescent="0.15">
      <c r="B20" s="22" t="s">
        <v>26</v>
      </c>
      <c r="C20" s="47">
        <v>0</v>
      </c>
      <c r="D20" s="47">
        <v>0</v>
      </c>
      <c r="E20" s="47">
        <v>0</v>
      </c>
      <c r="F20" s="47">
        <v>0</v>
      </c>
      <c r="G20" s="47">
        <v>0</v>
      </c>
      <c r="H20" s="47">
        <v>0</v>
      </c>
      <c r="I20" s="46">
        <v>0</v>
      </c>
      <c r="J20" s="16"/>
      <c r="K20" s="50">
        <v>2</v>
      </c>
      <c r="M20" s="17"/>
      <c r="N20" s="18"/>
      <c r="O20" s="18"/>
      <c r="P20" s="18"/>
      <c r="Q20" s="18"/>
      <c r="R20" s="18"/>
      <c r="S20" s="18"/>
    </row>
    <row r="21" spans="2:19" x14ac:dyDescent="0.15">
      <c r="B21" s="22" t="s">
        <v>27</v>
      </c>
      <c r="C21" s="14">
        <v>0.1</v>
      </c>
      <c r="D21" s="14">
        <v>0.1</v>
      </c>
      <c r="E21" s="14">
        <v>0.1</v>
      </c>
      <c r="F21" s="14">
        <v>0</v>
      </c>
      <c r="G21" s="14">
        <v>0.3</v>
      </c>
      <c r="H21" s="14">
        <v>0</v>
      </c>
      <c r="I21" s="69">
        <v>0.3</v>
      </c>
      <c r="J21" s="16"/>
      <c r="K21" s="50">
        <v>2</v>
      </c>
      <c r="M21" s="17"/>
      <c r="N21" s="18"/>
      <c r="O21" s="18"/>
      <c r="P21" s="18"/>
      <c r="Q21" s="18"/>
      <c r="R21" s="18"/>
      <c r="S21" s="18"/>
    </row>
    <row r="22" spans="2:19" x14ac:dyDescent="0.15">
      <c r="B22" s="22" t="s">
        <v>28</v>
      </c>
      <c r="C22" s="14">
        <v>0.1</v>
      </c>
      <c r="D22" s="14">
        <v>0.1</v>
      </c>
      <c r="E22" s="14">
        <v>0.1</v>
      </c>
      <c r="F22" s="14">
        <v>0</v>
      </c>
      <c r="G22" s="14">
        <v>0.3</v>
      </c>
      <c r="H22" s="14">
        <v>0</v>
      </c>
      <c r="I22" s="69">
        <v>0.3</v>
      </c>
      <c r="J22" s="16"/>
      <c r="K22" s="50">
        <v>2</v>
      </c>
      <c r="M22" s="17"/>
      <c r="N22" s="18"/>
      <c r="O22" s="18"/>
      <c r="P22" s="18"/>
      <c r="Q22" s="18"/>
      <c r="R22" s="18"/>
      <c r="S22" s="18"/>
    </row>
    <row r="23" spans="2:19" x14ac:dyDescent="0.15">
      <c r="B23" s="24" t="s">
        <v>29</v>
      </c>
      <c r="C23" s="55"/>
      <c r="D23" s="28"/>
      <c r="E23" s="28"/>
      <c r="F23" s="28"/>
      <c r="G23" s="28"/>
      <c r="H23" s="28"/>
      <c r="I23" s="28"/>
      <c r="J23" s="28"/>
      <c r="K23" s="29"/>
      <c r="M23" s="261"/>
      <c r="N23" s="261"/>
      <c r="O23" s="261"/>
      <c r="P23" s="261"/>
      <c r="Q23" s="261"/>
      <c r="R23" s="261"/>
      <c r="S23" s="261"/>
    </row>
    <row r="24" spans="2:19" x14ac:dyDescent="0.15">
      <c r="B24" s="22" t="s">
        <v>30</v>
      </c>
      <c r="C24" s="31">
        <v>0</v>
      </c>
      <c r="D24" s="31">
        <v>0</v>
      </c>
      <c r="E24" s="31">
        <v>0</v>
      </c>
      <c r="F24" s="31"/>
      <c r="G24" s="31"/>
      <c r="H24" s="31"/>
      <c r="I24" s="31"/>
      <c r="J24" s="30"/>
      <c r="K24" s="50"/>
      <c r="M24" s="17"/>
      <c r="N24" s="18"/>
      <c r="O24" s="18"/>
      <c r="P24" s="18"/>
      <c r="Q24" s="18"/>
      <c r="R24" s="18"/>
      <c r="S24" s="18"/>
    </row>
    <row r="25" spans="2:19" x14ac:dyDescent="0.15">
      <c r="B25" s="22" t="s">
        <v>33</v>
      </c>
      <c r="C25" s="31">
        <v>0</v>
      </c>
      <c r="D25" s="31">
        <v>0</v>
      </c>
      <c r="E25" s="31">
        <v>0</v>
      </c>
      <c r="F25" s="31"/>
      <c r="G25" s="31"/>
      <c r="H25" s="31"/>
      <c r="I25" s="31"/>
      <c r="J25" s="30"/>
      <c r="K25" s="50"/>
      <c r="M25" s="17"/>
      <c r="N25" s="18"/>
      <c r="O25" s="18"/>
      <c r="P25" s="18"/>
      <c r="Q25" s="18"/>
      <c r="R25" s="18"/>
      <c r="S25" s="18"/>
    </row>
    <row r="26" spans="2:19" ht="15" customHeight="1" x14ac:dyDescent="0.15">
      <c r="B26" s="22" t="s">
        <v>34</v>
      </c>
      <c r="C26" s="31">
        <v>0</v>
      </c>
      <c r="D26" s="31">
        <v>0</v>
      </c>
      <c r="E26" s="31">
        <v>0</v>
      </c>
      <c r="F26" s="31"/>
      <c r="G26" s="31"/>
      <c r="H26" s="31"/>
      <c r="I26" s="31"/>
      <c r="J26" s="32"/>
      <c r="K26" s="50"/>
      <c r="M26" s="17"/>
      <c r="N26" s="18"/>
      <c r="O26" s="18"/>
      <c r="P26" s="18"/>
      <c r="Q26" s="18"/>
      <c r="R26" s="18"/>
      <c r="S26" s="18"/>
    </row>
    <row r="27" spans="2:19" x14ac:dyDescent="0.15">
      <c r="B27" s="22" t="s">
        <v>35</v>
      </c>
      <c r="C27" s="31">
        <v>0</v>
      </c>
      <c r="D27" s="31">
        <v>0</v>
      </c>
      <c r="E27" s="31">
        <v>0</v>
      </c>
      <c r="F27" s="31"/>
      <c r="G27" s="31"/>
      <c r="H27" s="31"/>
      <c r="I27" s="31"/>
      <c r="J27" s="16"/>
      <c r="K27" s="16"/>
      <c r="M27" s="17"/>
      <c r="N27" s="33"/>
      <c r="O27" s="33"/>
      <c r="P27" s="33"/>
      <c r="Q27" s="33"/>
      <c r="R27" s="18"/>
      <c r="S27" s="18"/>
    </row>
    <row r="28" spans="2:19" x14ac:dyDescent="0.15">
      <c r="B28" s="22" t="s">
        <v>36</v>
      </c>
      <c r="C28" s="31">
        <v>0</v>
      </c>
      <c r="D28" s="31">
        <v>0</v>
      </c>
      <c r="E28" s="31">
        <v>0</v>
      </c>
      <c r="F28" s="31"/>
      <c r="G28" s="31"/>
      <c r="H28" s="31"/>
      <c r="I28" s="31"/>
      <c r="J28" s="16"/>
      <c r="K28" s="16"/>
      <c r="L28" s="34"/>
      <c r="M28" s="261"/>
      <c r="N28" s="261"/>
      <c r="O28" s="261"/>
      <c r="P28" s="261"/>
      <c r="Q28" s="261"/>
      <c r="R28" s="261"/>
      <c r="S28" s="261"/>
    </row>
    <row r="29" spans="2:19" x14ac:dyDescent="0.15">
      <c r="B29" s="24" t="s">
        <v>37</v>
      </c>
      <c r="C29" s="28"/>
      <c r="D29" s="28"/>
      <c r="E29" s="28"/>
      <c r="F29" s="28"/>
      <c r="G29" s="28"/>
      <c r="H29" s="28"/>
      <c r="I29" s="28"/>
      <c r="J29" s="28"/>
      <c r="K29" s="29"/>
      <c r="M29" s="17"/>
      <c r="N29" s="18"/>
      <c r="O29" s="18"/>
      <c r="P29" s="18"/>
      <c r="Q29" s="18"/>
      <c r="R29" s="18"/>
      <c r="S29" s="18"/>
    </row>
    <row r="30" spans="2:19" x14ac:dyDescent="0.15">
      <c r="B30" s="22" t="s">
        <v>38</v>
      </c>
      <c r="C30" s="49">
        <v>0.86</v>
      </c>
      <c r="D30" s="64">
        <f>C30</f>
        <v>0.86</v>
      </c>
      <c r="E30" s="64">
        <f>D30</f>
        <v>0.86</v>
      </c>
      <c r="F30" s="49">
        <v>0.6</v>
      </c>
      <c r="G30" s="14">
        <v>6</v>
      </c>
      <c r="H30" s="49">
        <v>0.6</v>
      </c>
      <c r="I30" s="71">
        <v>6</v>
      </c>
      <c r="J30" s="16" t="s">
        <v>115</v>
      </c>
      <c r="K30" s="50" t="s">
        <v>116</v>
      </c>
      <c r="M30" s="17"/>
      <c r="N30" s="35"/>
      <c r="O30" s="35"/>
      <c r="P30" s="35"/>
      <c r="Q30" s="35"/>
      <c r="R30" s="18"/>
      <c r="S30" s="18"/>
    </row>
    <row r="31" spans="2:19" x14ac:dyDescent="0.15">
      <c r="B31" s="22" t="s">
        <v>117</v>
      </c>
      <c r="C31" s="56">
        <v>0.3</v>
      </c>
      <c r="D31" s="56">
        <v>0.3</v>
      </c>
      <c r="E31" s="56">
        <v>0.3</v>
      </c>
      <c r="F31" s="56">
        <v>0.2</v>
      </c>
      <c r="G31" s="56">
        <v>0.5</v>
      </c>
      <c r="H31" s="56">
        <v>0.2</v>
      </c>
      <c r="I31" s="56">
        <v>0.5</v>
      </c>
      <c r="J31" s="16"/>
      <c r="K31" s="16">
        <v>7</v>
      </c>
      <c r="M31" s="17"/>
      <c r="N31" s="35"/>
      <c r="O31" s="35"/>
      <c r="P31" s="35"/>
      <c r="Q31" s="35"/>
      <c r="R31" s="18"/>
      <c r="S31" s="18"/>
    </row>
    <row r="32" spans="2:19" x14ac:dyDescent="0.15">
      <c r="B32" s="22" t="s">
        <v>118</v>
      </c>
      <c r="C32" s="56">
        <v>0.7</v>
      </c>
      <c r="D32" s="56">
        <v>0.7</v>
      </c>
      <c r="E32" s="56">
        <v>0.7</v>
      </c>
      <c r="F32" s="56">
        <v>0.5</v>
      </c>
      <c r="G32" s="56">
        <v>0.8</v>
      </c>
      <c r="H32" s="56">
        <v>0.5</v>
      </c>
      <c r="I32" s="56">
        <v>0.8</v>
      </c>
      <c r="J32" s="16"/>
      <c r="K32" s="16">
        <v>7</v>
      </c>
      <c r="M32" s="17"/>
      <c r="N32" s="35"/>
      <c r="O32" s="35"/>
      <c r="P32" s="35"/>
      <c r="Q32" s="35"/>
      <c r="R32" s="18"/>
      <c r="S32" s="18"/>
    </row>
    <row r="33" spans="1:19" x14ac:dyDescent="0.15">
      <c r="B33" s="22" t="s">
        <v>42</v>
      </c>
      <c r="C33" s="48">
        <v>8000</v>
      </c>
      <c r="D33" s="48">
        <v>8000</v>
      </c>
      <c r="E33" s="48">
        <v>8000</v>
      </c>
      <c r="F33" s="36">
        <v>4000</v>
      </c>
      <c r="G33" s="36">
        <v>30000</v>
      </c>
      <c r="H33" s="36">
        <v>4000</v>
      </c>
      <c r="I33" s="36">
        <v>30000</v>
      </c>
      <c r="J33" s="16"/>
      <c r="K33" s="50" t="s">
        <v>119</v>
      </c>
      <c r="M33" s="17"/>
      <c r="N33" s="35"/>
      <c r="O33" s="35"/>
      <c r="P33" s="35"/>
      <c r="Q33" s="35"/>
      <c r="R33" s="18"/>
      <c r="S33" s="18"/>
    </row>
    <row r="34" spans="1:19" x14ac:dyDescent="0.15">
      <c r="B34" s="22" t="s">
        <v>45</v>
      </c>
      <c r="C34" s="49">
        <v>1.325</v>
      </c>
      <c r="D34" s="49">
        <f>C34</f>
        <v>1.325</v>
      </c>
      <c r="E34" s="49">
        <f>D34</f>
        <v>1.325</v>
      </c>
      <c r="F34" s="73">
        <v>0.5</v>
      </c>
      <c r="G34" s="73">
        <v>3</v>
      </c>
      <c r="H34" s="73">
        <v>0.5</v>
      </c>
      <c r="I34" s="73">
        <v>3</v>
      </c>
      <c r="J34" s="16"/>
      <c r="K34" s="50" t="s">
        <v>120</v>
      </c>
      <c r="M34" s="17"/>
      <c r="N34" s="35"/>
      <c r="O34" s="35"/>
      <c r="P34" s="35"/>
      <c r="Q34" s="35"/>
      <c r="R34" s="18"/>
      <c r="S34" s="18"/>
    </row>
    <row r="35" spans="1:19" x14ac:dyDescent="0.15">
      <c r="B35" s="22" t="s">
        <v>46</v>
      </c>
      <c r="C35" s="47" t="s">
        <v>31</v>
      </c>
      <c r="D35" s="47" t="s">
        <v>31</v>
      </c>
      <c r="E35" s="47" t="s">
        <v>31</v>
      </c>
      <c r="F35" s="47" t="s">
        <v>31</v>
      </c>
      <c r="G35" s="47" t="s">
        <v>31</v>
      </c>
      <c r="H35" s="47" t="s">
        <v>31</v>
      </c>
      <c r="I35" s="73" t="s">
        <v>31</v>
      </c>
      <c r="J35" s="16"/>
      <c r="K35" s="50"/>
      <c r="M35" s="261"/>
      <c r="N35" s="261"/>
      <c r="O35" s="261"/>
      <c r="P35" s="261"/>
      <c r="Q35" s="261"/>
      <c r="R35" s="261"/>
      <c r="S35" s="261"/>
    </row>
    <row r="36" spans="1:19" x14ac:dyDescent="0.15">
      <c r="B36" s="37" t="s">
        <v>47</v>
      </c>
      <c r="C36" s="38"/>
      <c r="D36" s="38"/>
      <c r="E36" s="38"/>
      <c r="F36" s="38"/>
      <c r="G36" s="38"/>
      <c r="H36" s="38"/>
      <c r="I36" s="38"/>
      <c r="J36" s="38"/>
      <c r="K36" s="39"/>
      <c r="N36" s="18"/>
      <c r="O36" s="18"/>
      <c r="P36" s="18"/>
      <c r="Q36" s="18"/>
      <c r="R36" s="18"/>
      <c r="S36" s="18"/>
    </row>
    <row r="37" spans="1:19" ht="15" customHeight="1" x14ac:dyDescent="0.15">
      <c r="B37" s="74" t="s">
        <v>121</v>
      </c>
      <c r="C37" s="36">
        <v>10000</v>
      </c>
      <c r="D37" s="36">
        <v>10000</v>
      </c>
      <c r="E37" s="36">
        <v>10000</v>
      </c>
      <c r="F37" s="36">
        <v>3000</v>
      </c>
      <c r="G37" s="36">
        <v>20000</v>
      </c>
      <c r="H37" s="36">
        <v>3000</v>
      </c>
      <c r="I37" s="36">
        <v>20000</v>
      </c>
      <c r="J37" s="54" t="s">
        <v>64</v>
      </c>
      <c r="K37" s="50" t="s">
        <v>112</v>
      </c>
      <c r="N37" s="18"/>
      <c r="O37" s="18"/>
      <c r="P37" s="18"/>
      <c r="Q37" s="18"/>
      <c r="R37" s="18"/>
      <c r="S37" s="18"/>
    </row>
    <row r="38" spans="1:19" ht="15" customHeight="1" x14ac:dyDescent="0.15">
      <c r="B38" s="74" t="s">
        <v>122</v>
      </c>
      <c r="C38" s="36">
        <v>10</v>
      </c>
      <c r="D38" s="36">
        <v>10</v>
      </c>
      <c r="E38" s="36">
        <v>10</v>
      </c>
      <c r="F38" s="36">
        <v>4</v>
      </c>
      <c r="G38" s="36">
        <v>12</v>
      </c>
      <c r="H38" s="36">
        <v>4</v>
      </c>
      <c r="I38" s="36">
        <v>12</v>
      </c>
      <c r="J38" s="54" t="s">
        <v>64</v>
      </c>
      <c r="K38" s="50" t="s">
        <v>112</v>
      </c>
      <c r="N38" s="18"/>
      <c r="O38" s="18"/>
      <c r="P38" s="18"/>
      <c r="Q38" s="18"/>
      <c r="R38" s="18"/>
      <c r="S38" s="18"/>
    </row>
    <row r="39" spans="1:19" x14ac:dyDescent="0.15">
      <c r="A39" s="3"/>
      <c r="L39" s="4"/>
    </row>
    <row r="40" spans="1:19" s="1" customFormat="1" ht="12" x14ac:dyDescent="0.15">
      <c r="A40" s="3" t="s">
        <v>50</v>
      </c>
      <c r="C40" s="40"/>
      <c r="D40" s="40"/>
      <c r="E40" s="40"/>
      <c r="F40" s="40"/>
      <c r="G40" s="40"/>
    </row>
    <row r="41" spans="1:19" x14ac:dyDescent="0.15">
      <c r="A41" s="52">
        <v>1</v>
      </c>
      <c r="B41" s="53" t="s">
        <v>51</v>
      </c>
      <c r="C41" s="75"/>
      <c r="D41" s="75"/>
      <c r="E41" s="75"/>
      <c r="F41" s="75"/>
      <c r="G41" s="75"/>
      <c r="H41" s="75"/>
      <c r="I41" s="75"/>
      <c r="J41" s="75"/>
      <c r="K41" s="75"/>
    </row>
    <row r="42" spans="1:19" x14ac:dyDescent="0.15">
      <c r="A42" s="52">
        <v>2</v>
      </c>
      <c r="B42" s="75" t="s">
        <v>88</v>
      </c>
      <c r="C42" s="75"/>
      <c r="D42" s="75"/>
      <c r="E42" s="75"/>
      <c r="F42" s="75"/>
      <c r="G42" s="75"/>
      <c r="H42" s="75"/>
      <c r="I42" s="75"/>
      <c r="J42" s="75"/>
      <c r="K42" s="75"/>
    </row>
    <row r="43" spans="1:19" s="1" customFormat="1" x14ac:dyDescent="0.15">
      <c r="A43" s="52">
        <v>3</v>
      </c>
      <c r="B43" s="75" t="s">
        <v>123</v>
      </c>
      <c r="C43" s="75"/>
      <c r="D43" s="75"/>
      <c r="E43" s="75"/>
      <c r="F43" s="75"/>
      <c r="G43" s="75"/>
      <c r="H43" s="75"/>
      <c r="I43" s="75"/>
      <c r="J43" s="75"/>
      <c r="K43" s="75"/>
      <c r="M43" s="4"/>
      <c r="N43" s="4"/>
      <c r="O43" s="4"/>
      <c r="P43" s="4"/>
      <c r="Q43" s="4"/>
      <c r="R43" s="4"/>
      <c r="S43" s="4"/>
    </row>
    <row r="44" spans="1:19" s="1" customFormat="1" x14ac:dyDescent="0.15">
      <c r="A44" s="52">
        <v>4</v>
      </c>
      <c r="B44" s="75" t="s">
        <v>124</v>
      </c>
      <c r="C44" s="75"/>
      <c r="D44" s="75"/>
      <c r="E44" s="75"/>
      <c r="F44" s="75"/>
      <c r="G44" s="75"/>
      <c r="H44" s="75"/>
      <c r="I44" s="75"/>
      <c r="J44" s="75"/>
      <c r="K44" s="75"/>
      <c r="M44" s="4"/>
      <c r="N44" s="4"/>
      <c r="O44" s="4"/>
      <c r="P44" s="4"/>
      <c r="Q44" s="4"/>
      <c r="R44" s="4"/>
      <c r="S44" s="4"/>
    </row>
    <row r="45" spans="1:19" s="1" customFormat="1" x14ac:dyDescent="0.15">
      <c r="A45" s="52">
        <v>5</v>
      </c>
      <c r="B45" s="75" t="s">
        <v>125</v>
      </c>
      <c r="C45" s="75"/>
      <c r="D45" s="75"/>
      <c r="E45" s="75"/>
      <c r="F45" s="75"/>
      <c r="G45" s="75"/>
      <c r="H45" s="75"/>
      <c r="I45" s="75"/>
      <c r="J45" s="75"/>
      <c r="K45" s="75"/>
      <c r="M45" s="4"/>
      <c r="N45" s="4"/>
      <c r="O45" s="4"/>
      <c r="P45" s="4"/>
      <c r="Q45" s="4"/>
      <c r="R45" s="4"/>
      <c r="S45" s="4"/>
    </row>
    <row r="46" spans="1:19" s="1" customFormat="1" x14ac:dyDescent="0.15">
      <c r="A46" s="52">
        <v>6</v>
      </c>
      <c r="B46" s="255" t="s">
        <v>126</v>
      </c>
      <c r="C46" s="255"/>
      <c r="D46" s="255"/>
      <c r="E46" s="255"/>
      <c r="F46" s="255"/>
      <c r="G46" s="255"/>
      <c r="H46" s="255"/>
      <c r="I46" s="255"/>
      <c r="J46" s="255"/>
      <c r="K46" s="255"/>
      <c r="M46" s="4"/>
      <c r="N46" s="4"/>
      <c r="O46" s="4"/>
      <c r="P46" s="4"/>
      <c r="Q46" s="4"/>
      <c r="R46" s="4"/>
      <c r="S46" s="4"/>
    </row>
    <row r="47" spans="1:19" s="1" customFormat="1" x14ac:dyDescent="0.15">
      <c r="A47" s="52">
        <v>7</v>
      </c>
      <c r="B47" s="53" t="s">
        <v>127</v>
      </c>
      <c r="C47" s="65"/>
      <c r="D47" s="65"/>
      <c r="E47" s="65"/>
      <c r="F47" s="65"/>
      <c r="G47" s="65"/>
      <c r="H47" s="65"/>
      <c r="I47" s="65"/>
      <c r="J47" s="65"/>
      <c r="K47" s="65"/>
      <c r="M47" s="4"/>
      <c r="N47" s="4"/>
      <c r="O47" s="4"/>
      <c r="P47" s="4"/>
      <c r="Q47" s="4"/>
      <c r="R47" s="4"/>
      <c r="S47" s="4"/>
    </row>
    <row r="48" spans="1:19" s="1" customFormat="1" x14ac:dyDescent="0.15">
      <c r="A48" s="3" t="s">
        <v>59</v>
      </c>
      <c r="M48" s="4"/>
      <c r="N48" s="4"/>
      <c r="O48" s="4"/>
      <c r="P48" s="4"/>
      <c r="Q48" s="4"/>
      <c r="R48" s="4"/>
      <c r="S48" s="4"/>
    </row>
    <row r="49" spans="1:19" s="1" customFormat="1" x14ac:dyDescent="0.15">
      <c r="A49" s="52" t="s">
        <v>13</v>
      </c>
      <c r="B49" s="53" t="s">
        <v>128</v>
      </c>
      <c r="C49" s="53"/>
      <c r="D49" s="53"/>
      <c r="E49" s="53"/>
      <c r="F49" s="53"/>
      <c r="G49" s="53"/>
      <c r="H49" s="53"/>
      <c r="I49" s="53"/>
      <c r="J49" s="53"/>
      <c r="K49" s="53"/>
      <c r="M49" s="4"/>
      <c r="N49" s="4"/>
      <c r="O49" s="4"/>
      <c r="P49" s="4"/>
      <c r="Q49" s="4"/>
      <c r="R49" s="4"/>
      <c r="S49" s="4"/>
    </row>
    <row r="50" spans="1:19" s="1" customFormat="1" ht="13.5" customHeight="1" x14ac:dyDescent="0.15">
      <c r="A50" s="52" t="s">
        <v>61</v>
      </c>
      <c r="B50" s="255" t="s">
        <v>129</v>
      </c>
      <c r="C50" s="255"/>
      <c r="D50" s="255"/>
      <c r="E50" s="255"/>
      <c r="F50" s="255"/>
      <c r="G50" s="255"/>
      <c r="H50" s="255"/>
      <c r="I50" s="255"/>
      <c r="J50" s="255"/>
      <c r="K50" s="255"/>
      <c r="M50" s="4"/>
      <c r="N50" s="4"/>
      <c r="O50" s="4"/>
      <c r="P50" s="4"/>
      <c r="Q50" s="4"/>
      <c r="R50" s="4"/>
      <c r="S50" s="4"/>
    </row>
    <row r="51" spans="1:19" s="1" customFormat="1" ht="23.25" customHeight="1" x14ac:dyDescent="0.15">
      <c r="A51" s="52" t="s">
        <v>32</v>
      </c>
      <c r="B51" s="255" t="s">
        <v>98</v>
      </c>
      <c r="C51" s="255"/>
      <c r="D51" s="255"/>
      <c r="E51" s="255"/>
      <c r="F51" s="255"/>
      <c r="G51" s="255"/>
      <c r="H51" s="255"/>
      <c r="I51" s="255"/>
      <c r="J51" s="255"/>
      <c r="K51" s="255"/>
      <c r="M51" s="4"/>
      <c r="N51" s="4"/>
      <c r="O51" s="4"/>
      <c r="P51" s="4"/>
      <c r="Q51" s="4"/>
      <c r="R51" s="4"/>
      <c r="S51" s="4"/>
    </row>
    <row r="52" spans="1:19" s="1" customFormat="1" x14ac:dyDescent="0.15">
      <c r="A52" s="52" t="s">
        <v>64</v>
      </c>
      <c r="B52" s="263" t="s">
        <v>130</v>
      </c>
      <c r="C52" s="263"/>
      <c r="D52" s="263"/>
      <c r="E52" s="263"/>
      <c r="F52" s="263"/>
      <c r="G52" s="263"/>
      <c r="H52" s="263"/>
      <c r="I52" s="263"/>
      <c r="J52" s="263"/>
      <c r="K52" s="263"/>
      <c r="M52" s="4"/>
      <c r="N52" s="4"/>
      <c r="O52" s="4"/>
      <c r="P52" s="4"/>
      <c r="Q52" s="4"/>
      <c r="R52" s="4"/>
      <c r="S52" s="4"/>
    </row>
    <row r="53" spans="1:19" s="1" customFormat="1" x14ac:dyDescent="0.15">
      <c r="A53" s="52" t="s">
        <v>66</v>
      </c>
      <c r="B53" s="53" t="s">
        <v>76</v>
      </c>
      <c r="C53" s="53"/>
      <c r="D53" s="53"/>
      <c r="E53" s="53"/>
      <c r="F53" s="53"/>
      <c r="G53" s="53"/>
      <c r="H53" s="53"/>
      <c r="I53" s="53"/>
      <c r="J53" s="53"/>
      <c r="K53" s="53"/>
      <c r="M53" s="4"/>
      <c r="N53" s="4"/>
      <c r="O53" s="4"/>
      <c r="P53" s="4"/>
      <c r="Q53" s="4"/>
      <c r="R53" s="4"/>
      <c r="S53" s="4"/>
    </row>
    <row r="54" spans="1:19" s="1" customFormat="1" x14ac:dyDescent="0.15">
      <c r="A54" s="52"/>
      <c r="B54" s="53"/>
      <c r="C54" s="53"/>
      <c r="D54" s="53"/>
      <c r="E54" s="53"/>
      <c r="F54" s="53"/>
      <c r="G54" s="53"/>
      <c r="H54" s="53"/>
      <c r="I54" s="53"/>
      <c r="J54" s="53"/>
      <c r="K54" s="53"/>
      <c r="M54" s="4"/>
      <c r="N54" s="4"/>
      <c r="O54" s="4"/>
      <c r="P54" s="4"/>
      <c r="Q54" s="4"/>
      <c r="R54" s="4"/>
      <c r="S54" s="4"/>
    </row>
    <row r="55" spans="1:19" s="1" customFormat="1" x14ac:dyDescent="0.15">
      <c r="A55" s="41"/>
      <c r="M55" s="4"/>
      <c r="N55" s="4"/>
      <c r="O55" s="4"/>
      <c r="P55" s="4"/>
      <c r="Q55" s="4"/>
      <c r="R55" s="4"/>
      <c r="S55" s="4"/>
    </row>
    <row r="56" spans="1:19" s="1" customFormat="1" x14ac:dyDescent="0.15">
      <c r="A56" s="41"/>
      <c r="M56" s="4"/>
      <c r="N56" s="4"/>
      <c r="O56" s="4"/>
      <c r="P56" s="4"/>
      <c r="Q56" s="4"/>
      <c r="R56" s="4"/>
      <c r="S56" s="4"/>
    </row>
    <row r="58" spans="1:19" s="1" customFormat="1" x14ac:dyDescent="0.15">
      <c r="B58" s="4"/>
      <c r="M58" s="4"/>
      <c r="N58" s="4"/>
      <c r="O58" s="4"/>
      <c r="P58" s="4"/>
      <c r="Q58" s="4"/>
      <c r="R58" s="4"/>
      <c r="S58" s="4"/>
    </row>
    <row r="59" spans="1:19" s="1" customFormat="1" x14ac:dyDescent="0.15">
      <c r="B59" s="4"/>
      <c r="M59" s="4"/>
      <c r="N59" s="4"/>
      <c r="O59" s="4"/>
      <c r="P59" s="4"/>
      <c r="Q59" s="4"/>
      <c r="R59" s="4"/>
      <c r="S59" s="4"/>
    </row>
  </sheetData>
  <mergeCells count="13">
    <mergeCell ref="N6:S6"/>
    <mergeCell ref="C3:K3"/>
    <mergeCell ref="N3:S3"/>
    <mergeCell ref="F4:G4"/>
    <mergeCell ref="H4:I4"/>
    <mergeCell ref="M5:S5"/>
    <mergeCell ref="B52:K52"/>
    <mergeCell ref="M23:S23"/>
    <mergeCell ref="M28:S28"/>
    <mergeCell ref="M35:S35"/>
    <mergeCell ref="B46:K46"/>
    <mergeCell ref="B50:K50"/>
    <mergeCell ref="B51:K51"/>
  </mergeCells>
  <pageMargins left="0.70866141732283472" right="0.70866141732283472" top="0.74803149606299213" bottom="0.74803149606299213" header="0.31496062992125984" footer="0.31496062992125984"/>
  <pageSetup paperSize="9" scale="65" orientation="portrait" r:id="rId1"/>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8A42-811C-4F05-938A-6E122DF03943}">
  <sheetPr>
    <tabColor rgb="FFFFC000"/>
  </sheetPr>
  <dimension ref="A1:R78"/>
  <sheetViews>
    <sheetView topLeftCell="A12" zoomScale="85" zoomScaleNormal="85" workbookViewId="0">
      <selection activeCell="O48" sqref="O48"/>
    </sheetView>
  </sheetViews>
  <sheetFormatPr baseColWidth="10" defaultColWidth="9.1640625" defaultRowHeight="14" x14ac:dyDescent="0.15"/>
  <cols>
    <col min="1" max="1" width="3" style="1" customWidth="1"/>
    <col min="2" max="2" width="40.33203125" style="1" customWidth="1"/>
    <col min="3" max="5" width="9" style="1" customWidth="1"/>
    <col min="6" max="9" width="9.5" style="1" customWidth="1"/>
    <col min="10" max="11" width="6.5" style="1" customWidth="1"/>
    <col min="12" max="12" width="30.1640625" style="4" customWidth="1"/>
    <col min="13" max="13" width="10.33203125" style="4" customWidth="1"/>
    <col min="14" max="14" width="9.6640625" style="4" customWidth="1"/>
    <col min="15" max="15" width="10" style="4" customWidth="1"/>
    <col min="16" max="16" width="7.83203125" style="4" customWidth="1"/>
    <col min="17" max="17" width="7.1640625" style="4" customWidth="1"/>
    <col min="18" max="18" width="7.6640625" style="4" customWidth="1"/>
    <col min="19" max="16384" width="9.1640625" style="4"/>
  </cols>
  <sheetData>
    <row r="1" spans="2:18" ht="20" x14ac:dyDescent="0.2">
      <c r="B1" s="2" t="s">
        <v>0</v>
      </c>
    </row>
    <row r="3" spans="2:18" ht="15" customHeight="1" x14ac:dyDescent="0.15">
      <c r="B3" s="5" t="s">
        <v>1</v>
      </c>
      <c r="C3" s="256" t="s">
        <v>131</v>
      </c>
      <c r="D3" s="256"/>
      <c r="E3" s="256"/>
      <c r="F3" s="256"/>
      <c r="G3" s="256"/>
      <c r="H3" s="256"/>
      <c r="I3" s="256"/>
      <c r="J3" s="256"/>
      <c r="K3" s="257"/>
      <c r="L3" s="63"/>
      <c r="M3" s="258"/>
      <c r="N3" s="259"/>
      <c r="O3" s="259"/>
      <c r="P3" s="259"/>
      <c r="Q3" s="259"/>
      <c r="R3" s="259"/>
    </row>
    <row r="4" spans="2:18" ht="28.5" customHeight="1" x14ac:dyDescent="0.15">
      <c r="B4" s="6"/>
      <c r="C4" s="7">
        <v>2020</v>
      </c>
      <c r="D4" s="7">
        <v>2030</v>
      </c>
      <c r="E4" s="7">
        <v>2050</v>
      </c>
      <c r="F4" s="260" t="s">
        <v>3</v>
      </c>
      <c r="G4" s="257"/>
      <c r="H4" s="260" t="s">
        <v>4</v>
      </c>
      <c r="I4" s="257"/>
      <c r="J4" s="7" t="s">
        <v>5</v>
      </c>
      <c r="K4" s="7" t="s">
        <v>6</v>
      </c>
      <c r="L4" s="8"/>
      <c r="M4" s="9"/>
      <c r="N4" s="9"/>
      <c r="O4" s="9"/>
      <c r="P4" s="9"/>
      <c r="Q4" s="9"/>
      <c r="R4" s="9"/>
    </row>
    <row r="5" spans="2:18" ht="15" customHeight="1" x14ac:dyDescent="0.15">
      <c r="B5" s="10" t="s">
        <v>7</v>
      </c>
      <c r="C5" s="11"/>
      <c r="D5" s="11"/>
      <c r="E5" s="11"/>
      <c r="F5" s="62" t="s">
        <v>8</v>
      </c>
      <c r="G5" s="62" t="s">
        <v>9</v>
      </c>
      <c r="H5" s="62" t="s">
        <v>8</v>
      </c>
      <c r="I5" s="62" t="s">
        <v>9</v>
      </c>
      <c r="J5" s="11"/>
      <c r="K5" s="12"/>
      <c r="L5" s="261"/>
      <c r="M5" s="261"/>
      <c r="N5" s="261"/>
      <c r="O5" s="261"/>
      <c r="P5" s="261"/>
      <c r="Q5" s="261"/>
      <c r="R5" s="261"/>
    </row>
    <row r="6" spans="2:18" ht="18" customHeight="1" x14ac:dyDescent="0.15">
      <c r="B6" s="13" t="s">
        <v>132</v>
      </c>
      <c r="C6" s="47">
        <v>10</v>
      </c>
      <c r="D6" s="47">
        <v>20</v>
      </c>
      <c r="E6" s="47">
        <v>50</v>
      </c>
      <c r="F6" s="47"/>
      <c r="G6" s="47"/>
      <c r="H6" s="47"/>
      <c r="I6" s="47"/>
      <c r="J6" s="15" t="s">
        <v>32</v>
      </c>
      <c r="K6" s="50" t="s">
        <v>133</v>
      </c>
      <c r="L6" s="17"/>
      <c r="M6" s="60"/>
      <c r="N6" s="61"/>
      <c r="O6" s="61"/>
      <c r="P6" s="61"/>
      <c r="Q6" s="61"/>
      <c r="R6" s="61"/>
    </row>
    <row r="7" spans="2:18" x14ac:dyDescent="0.15">
      <c r="B7" s="13" t="s">
        <v>12</v>
      </c>
      <c r="C7" s="47" t="s">
        <v>31</v>
      </c>
      <c r="D7" s="47" t="s">
        <v>31</v>
      </c>
      <c r="E7" s="47" t="s">
        <v>31</v>
      </c>
      <c r="F7" s="47"/>
      <c r="G7" s="47"/>
      <c r="H7" s="47"/>
      <c r="I7" s="47"/>
      <c r="J7" s="15" t="s">
        <v>13</v>
      </c>
      <c r="K7" s="46"/>
      <c r="L7" s="17"/>
      <c r="M7" s="18"/>
      <c r="N7" s="18"/>
      <c r="O7" s="18"/>
      <c r="P7" s="18"/>
      <c r="Q7" s="18"/>
      <c r="R7" s="18"/>
    </row>
    <row r="8" spans="2:18" ht="25.5" customHeight="1" x14ac:dyDescent="0.15">
      <c r="B8" s="19" t="s">
        <v>14</v>
      </c>
      <c r="C8" s="47" t="s">
        <v>31</v>
      </c>
      <c r="D8" s="47" t="s">
        <v>31</v>
      </c>
      <c r="E8" s="47" t="s">
        <v>31</v>
      </c>
      <c r="F8" s="47"/>
      <c r="G8" s="47"/>
      <c r="H8" s="47"/>
      <c r="I8" s="47"/>
      <c r="J8" s="20" t="s">
        <v>13</v>
      </c>
      <c r="K8" s="66"/>
      <c r="L8" s="17"/>
      <c r="M8" s="18"/>
      <c r="N8" s="18"/>
      <c r="O8" s="18"/>
      <c r="P8" s="18"/>
      <c r="Q8" s="18"/>
      <c r="R8" s="18"/>
    </row>
    <row r="9" spans="2:18" x14ac:dyDescent="0.15">
      <c r="B9" s="13" t="s">
        <v>15</v>
      </c>
      <c r="C9" s="47" t="s">
        <v>31</v>
      </c>
      <c r="D9" s="47" t="s">
        <v>31</v>
      </c>
      <c r="E9" s="47" t="s">
        <v>31</v>
      </c>
      <c r="F9" s="47"/>
      <c r="G9" s="47"/>
      <c r="H9" s="47"/>
      <c r="I9" s="47"/>
      <c r="J9" s="15"/>
      <c r="K9" s="50"/>
      <c r="L9" s="1"/>
      <c r="M9" s="21"/>
      <c r="N9" s="21"/>
      <c r="O9" s="21"/>
      <c r="P9" s="21"/>
      <c r="Q9" s="21"/>
      <c r="R9" s="18"/>
    </row>
    <row r="10" spans="2:18" x14ac:dyDescent="0.15">
      <c r="B10" s="22" t="s">
        <v>16</v>
      </c>
      <c r="C10" s="47" t="s">
        <v>31</v>
      </c>
      <c r="D10" s="47" t="s">
        <v>31</v>
      </c>
      <c r="E10" s="47" t="s">
        <v>31</v>
      </c>
      <c r="F10" s="47"/>
      <c r="G10" s="47"/>
      <c r="H10" s="47"/>
      <c r="I10" s="47"/>
      <c r="J10" s="15"/>
      <c r="K10" s="50"/>
      <c r="L10" s="1"/>
      <c r="M10" s="21"/>
      <c r="N10" s="21"/>
      <c r="O10" s="21"/>
      <c r="P10" s="21"/>
      <c r="Q10" s="21"/>
      <c r="R10" s="18"/>
    </row>
    <row r="11" spans="2:18" x14ac:dyDescent="0.15">
      <c r="B11" s="22" t="s">
        <v>17</v>
      </c>
      <c r="C11" s="47">
        <v>35</v>
      </c>
      <c r="D11" s="47">
        <v>40</v>
      </c>
      <c r="E11" s="47">
        <v>40</v>
      </c>
      <c r="F11" s="47">
        <v>25</v>
      </c>
      <c r="G11" s="47">
        <v>40</v>
      </c>
      <c r="H11" s="47">
        <v>35</v>
      </c>
      <c r="I11" s="47">
        <v>45</v>
      </c>
      <c r="J11" s="15"/>
      <c r="K11" s="50" t="s">
        <v>112</v>
      </c>
      <c r="L11" s="17"/>
      <c r="M11" s="18"/>
      <c r="N11" s="18"/>
      <c r="O11" s="18"/>
      <c r="P11" s="18"/>
      <c r="Q11" s="18"/>
      <c r="R11" s="18"/>
    </row>
    <row r="12" spans="2:18" x14ac:dyDescent="0.15">
      <c r="B12" s="22" t="s">
        <v>18</v>
      </c>
      <c r="C12" s="14">
        <v>0.5</v>
      </c>
      <c r="D12" s="14">
        <v>0.5</v>
      </c>
      <c r="E12" s="14">
        <v>0.5</v>
      </c>
      <c r="F12" s="15">
        <v>0.5</v>
      </c>
      <c r="G12" s="15">
        <v>1.5</v>
      </c>
      <c r="H12" s="15">
        <v>0.25</v>
      </c>
      <c r="I12" s="47">
        <v>1</v>
      </c>
      <c r="J12" s="15"/>
      <c r="K12" s="50">
        <v>1</v>
      </c>
      <c r="L12" s="17"/>
      <c r="M12" s="18"/>
      <c r="N12" s="18"/>
      <c r="O12" s="18"/>
      <c r="P12" s="18"/>
      <c r="Q12" s="18"/>
      <c r="R12" s="18"/>
    </row>
    <row r="13" spans="2:18" x14ac:dyDescent="0.15">
      <c r="B13" s="23" t="s">
        <v>134</v>
      </c>
      <c r="C13" s="47">
        <v>14</v>
      </c>
      <c r="D13" s="47">
        <v>14</v>
      </c>
      <c r="E13" s="47">
        <v>14</v>
      </c>
      <c r="F13" s="47">
        <v>13</v>
      </c>
      <c r="G13" s="47">
        <v>18</v>
      </c>
      <c r="H13" s="47">
        <v>13</v>
      </c>
      <c r="I13" s="47">
        <v>18</v>
      </c>
      <c r="J13" s="15"/>
      <c r="K13" s="15">
        <v>6</v>
      </c>
      <c r="L13" s="17"/>
      <c r="M13" s="18"/>
      <c r="N13" s="18"/>
      <c r="O13" s="18"/>
      <c r="P13" s="18"/>
      <c r="Q13" s="18"/>
      <c r="R13" s="18"/>
    </row>
    <row r="14" spans="2:18" ht="24.75" customHeight="1" x14ac:dyDescent="0.15">
      <c r="B14" s="42" t="s">
        <v>21</v>
      </c>
      <c r="C14" s="43"/>
      <c r="D14" s="43"/>
      <c r="E14" s="43"/>
      <c r="F14" s="43"/>
      <c r="G14" s="43"/>
      <c r="H14" s="43"/>
      <c r="I14" s="44"/>
      <c r="J14" s="44"/>
      <c r="K14" s="45"/>
      <c r="L14" s="17"/>
      <c r="M14" s="18"/>
      <c r="N14" s="18"/>
      <c r="O14" s="18"/>
      <c r="P14" s="18"/>
      <c r="Q14" s="18"/>
      <c r="R14" s="18"/>
    </row>
    <row r="15" spans="2:18" x14ac:dyDescent="0.15">
      <c r="B15" s="23" t="s">
        <v>22</v>
      </c>
      <c r="C15" s="67">
        <f>C43/8760*100</f>
        <v>19.406392694063925</v>
      </c>
      <c r="D15" s="67">
        <f t="shared" ref="D15:E15" si="0">D43/8760*100</f>
        <v>22.260273972602739</v>
      </c>
      <c r="E15" s="67">
        <f t="shared" si="0"/>
        <v>22.260273972602739</v>
      </c>
      <c r="F15" s="46">
        <v>17</v>
      </c>
      <c r="G15" s="46">
        <v>23</v>
      </c>
      <c r="H15" s="46">
        <v>17</v>
      </c>
      <c r="I15" s="46">
        <v>23</v>
      </c>
      <c r="J15" s="16"/>
      <c r="K15" s="46" t="s">
        <v>135</v>
      </c>
      <c r="L15" s="17"/>
      <c r="M15" s="18"/>
      <c r="N15" s="18"/>
      <c r="O15" s="18"/>
      <c r="P15" s="18"/>
      <c r="Q15" s="18"/>
      <c r="R15" s="18"/>
    </row>
    <row r="16" spans="2:18" x14ac:dyDescent="0.15">
      <c r="B16" s="23" t="s">
        <v>23</v>
      </c>
      <c r="C16" s="67">
        <f>C15</f>
        <v>19.406392694063925</v>
      </c>
      <c r="D16" s="67">
        <f t="shared" ref="D16:E16" si="1">D15</f>
        <v>22.260273972602739</v>
      </c>
      <c r="E16" s="67">
        <f t="shared" si="1"/>
        <v>22.260273972602739</v>
      </c>
      <c r="F16" s="46">
        <v>17</v>
      </c>
      <c r="G16" s="46">
        <v>23</v>
      </c>
      <c r="H16" s="46">
        <v>17</v>
      </c>
      <c r="I16" s="46">
        <v>23</v>
      </c>
      <c r="J16" s="16"/>
      <c r="K16" s="46" t="s">
        <v>135</v>
      </c>
      <c r="L16" s="17"/>
      <c r="M16" s="18"/>
      <c r="N16" s="18"/>
      <c r="O16" s="18"/>
      <c r="P16" s="18"/>
      <c r="Q16" s="18"/>
      <c r="R16" s="18"/>
    </row>
    <row r="17" spans="2:18" x14ac:dyDescent="0.15">
      <c r="B17" s="24" t="s">
        <v>24</v>
      </c>
      <c r="C17" s="25"/>
      <c r="D17" s="25"/>
      <c r="E17" s="25"/>
      <c r="F17" s="25"/>
      <c r="G17" s="25"/>
      <c r="H17" s="25"/>
      <c r="I17" s="26"/>
      <c r="J17" s="26"/>
      <c r="K17" s="27"/>
      <c r="L17" s="17"/>
      <c r="M17" s="18"/>
      <c r="N17" s="18"/>
      <c r="O17" s="18"/>
      <c r="P17" s="18"/>
      <c r="Q17" s="18"/>
      <c r="R17" s="18"/>
    </row>
    <row r="18" spans="2:18" x14ac:dyDescent="0.15">
      <c r="B18" s="22" t="s">
        <v>25</v>
      </c>
      <c r="C18" s="47" t="s">
        <v>31</v>
      </c>
      <c r="D18" s="47" t="s">
        <v>31</v>
      </c>
      <c r="E18" s="47" t="s">
        <v>31</v>
      </c>
      <c r="F18" s="47" t="s">
        <v>31</v>
      </c>
      <c r="G18" s="47" t="s">
        <v>31</v>
      </c>
      <c r="H18" s="47" t="s">
        <v>31</v>
      </c>
      <c r="I18" s="46" t="s">
        <v>31</v>
      </c>
      <c r="J18" s="16" t="s">
        <v>61</v>
      </c>
      <c r="K18" s="50"/>
      <c r="L18" s="17"/>
      <c r="M18" s="18"/>
      <c r="N18" s="18"/>
      <c r="O18" s="18"/>
      <c r="P18" s="18"/>
      <c r="Q18" s="18"/>
      <c r="R18" s="18"/>
    </row>
    <row r="19" spans="2:18" x14ac:dyDescent="0.15">
      <c r="B19" s="22" t="s">
        <v>26</v>
      </c>
      <c r="C19" s="47" t="s">
        <v>31</v>
      </c>
      <c r="D19" s="47" t="s">
        <v>31</v>
      </c>
      <c r="E19" s="47" t="s">
        <v>31</v>
      </c>
      <c r="F19" s="47" t="s">
        <v>31</v>
      </c>
      <c r="G19" s="47" t="s">
        <v>31</v>
      </c>
      <c r="H19" s="47" t="s">
        <v>31</v>
      </c>
      <c r="I19" s="46" t="s">
        <v>31</v>
      </c>
      <c r="J19" s="16" t="s">
        <v>61</v>
      </c>
      <c r="K19" s="50"/>
      <c r="L19" s="17"/>
      <c r="M19" s="18"/>
      <c r="N19" s="18"/>
      <c r="O19" s="18"/>
      <c r="P19" s="18"/>
      <c r="Q19" s="18"/>
      <c r="R19" s="18"/>
    </row>
    <row r="20" spans="2:18" x14ac:dyDescent="0.15">
      <c r="B20" s="22" t="s">
        <v>27</v>
      </c>
      <c r="C20" s="47" t="s">
        <v>31</v>
      </c>
      <c r="D20" s="47" t="s">
        <v>31</v>
      </c>
      <c r="E20" s="47" t="s">
        <v>31</v>
      </c>
      <c r="F20" s="47" t="s">
        <v>31</v>
      </c>
      <c r="G20" s="47" t="s">
        <v>31</v>
      </c>
      <c r="H20" s="47" t="s">
        <v>31</v>
      </c>
      <c r="I20" s="46" t="s">
        <v>31</v>
      </c>
      <c r="J20" s="16" t="s">
        <v>61</v>
      </c>
      <c r="K20" s="50"/>
      <c r="L20" s="17"/>
      <c r="M20" s="18"/>
      <c r="N20" s="18"/>
      <c r="O20" s="18"/>
      <c r="P20" s="18"/>
      <c r="Q20" s="18"/>
      <c r="R20" s="18"/>
    </row>
    <row r="21" spans="2:18" x14ac:dyDescent="0.15">
      <c r="B21" s="22" t="s">
        <v>28</v>
      </c>
      <c r="C21" s="47" t="s">
        <v>31</v>
      </c>
      <c r="D21" s="47" t="s">
        <v>31</v>
      </c>
      <c r="E21" s="47" t="s">
        <v>31</v>
      </c>
      <c r="F21" s="47" t="s">
        <v>31</v>
      </c>
      <c r="G21" s="47" t="s">
        <v>31</v>
      </c>
      <c r="H21" s="47" t="s">
        <v>31</v>
      </c>
      <c r="I21" s="46" t="s">
        <v>31</v>
      </c>
      <c r="J21" s="16" t="s">
        <v>61</v>
      </c>
      <c r="K21" s="50"/>
      <c r="L21" s="17"/>
      <c r="M21" s="18"/>
      <c r="N21" s="18"/>
      <c r="O21" s="18"/>
      <c r="P21" s="18"/>
      <c r="Q21" s="18"/>
      <c r="R21" s="18"/>
    </row>
    <row r="22" spans="2:18" x14ac:dyDescent="0.15">
      <c r="B22" s="24" t="s">
        <v>29</v>
      </c>
      <c r="C22" s="55"/>
      <c r="D22" s="28"/>
      <c r="E22" s="28"/>
      <c r="F22" s="28"/>
      <c r="G22" s="28"/>
      <c r="H22" s="28"/>
      <c r="I22" s="28"/>
      <c r="J22" s="28"/>
      <c r="K22" s="29"/>
      <c r="L22" s="261"/>
      <c r="M22" s="261"/>
      <c r="N22" s="261"/>
      <c r="O22" s="261"/>
      <c r="P22" s="261"/>
      <c r="Q22" s="261"/>
      <c r="R22" s="261"/>
    </row>
    <row r="23" spans="2:18" x14ac:dyDescent="0.15">
      <c r="B23" s="22" t="s">
        <v>30</v>
      </c>
      <c r="C23" s="31">
        <v>0</v>
      </c>
      <c r="D23" s="31">
        <v>0</v>
      </c>
      <c r="E23" s="31">
        <v>0</v>
      </c>
      <c r="F23" s="31"/>
      <c r="G23" s="31"/>
      <c r="H23" s="31"/>
      <c r="I23" s="31"/>
      <c r="J23" s="30"/>
      <c r="K23" s="50"/>
      <c r="L23" s="17"/>
      <c r="M23" s="18"/>
      <c r="N23" s="18"/>
      <c r="O23" s="18"/>
      <c r="P23" s="18"/>
      <c r="Q23" s="18"/>
      <c r="R23" s="18"/>
    </row>
    <row r="24" spans="2:18" x14ac:dyDescent="0.15">
      <c r="B24" s="22" t="s">
        <v>33</v>
      </c>
      <c r="C24" s="31">
        <v>0</v>
      </c>
      <c r="D24" s="31">
        <v>0</v>
      </c>
      <c r="E24" s="31">
        <v>0</v>
      </c>
      <c r="F24" s="31"/>
      <c r="G24" s="31"/>
      <c r="H24" s="31"/>
      <c r="I24" s="31"/>
      <c r="J24" s="30"/>
      <c r="K24" s="50"/>
      <c r="L24" s="17"/>
      <c r="M24" s="18"/>
      <c r="N24" s="18"/>
      <c r="O24" s="18"/>
      <c r="P24" s="18"/>
      <c r="Q24" s="18"/>
      <c r="R24" s="18"/>
    </row>
    <row r="25" spans="2:18" ht="15" customHeight="1" x14ac:dyDescent="0.15">
      <c r="B25" s="22" t="s">
        <v>34</v>
      </c>
      <c r="C25" s="31">
        <v>0</v>
      </c>
      <c r="D25" s="31">
        <v>0</v>
      </c>
      <c r="E25" s="31">
        <v>0</v>
      </c>
      <c r="F25" s="31"/>
      <c r="G25" s="31"/>
      <c r="H25" s="31"/>
      <c r="I25" s="31"/>
      <c r="J25" s="32"/>
      <c r="K25" s="50"/>
      <c r="L25" s="17"/>
      <c r="M25" s="18"/>
      <c r="N25" s="18"/>
      <c r="O25" s="18"/>
      <c r="P25" s="18"/>
      <c r="Q25" s="18"/>
      <c r="R25" s="18"/>
    </row>
    <row r="26" spans="2:18" x14ac:dyDescent="0.15">
      <c r="B26" s="22" t="s">
        <v>35</v>
      </c>
      <c r="C26" s="31">
        <v>0</v>
      </c>
      <c r="D26" s="31">
        <v>0</v>
      </c>
      <c r="E26" s="31">
        <v>0</v>
      </c>
      <c r="F26" s="31"/>
      <c r="G26" s="31"/>
      <c r="H26" s="31"/>
      <c r="I26" s="31"/>
      <c r="J26" s="16"/>
      <c r="K26" s="16"/>
      <c r="L26" s="17"/>
      <c r="M26" s="33"/>
      <c r="N26" s="33"/>
      <c r="O26" s="33"/>
      <c r="P26" s="33"/>
      <c r="Q26" s="18"/>
      <c r="R26" s="18"/>
    </row>
    <row r="27" spans="2:18" x14ac:dyDescent="0.15">
      <c r="B27" s="22" t="s">
        <v>36</v>
      </c>
      <c r="C27" s="31">
        <v>0</v>
      </c>
      <c r="D27" s="31">
        <v>0</v>
      </c>
      <c r="E27" s="31">
        <v>0</v>
      </c>
      <c r="F27" s="31"/>
      <c r="G27" s="31"/>
      <c r="H27" s="31"/>
      <c r="I27" s="31"/>
      <c r="J27" s="16"/>
      <c r="K27" s="16"/>
      <c r="L27" s="261"/>
      <c r="M27" s="261"/>
      <c r="N27" s="261"/>
      <c r="O27" s="261"/>
      <c r="P27" s="261"/>
      <c r="Q27" s="261"/>
      <c r="R27" s="261"/>
    </row>
    <row r="28" spans="2:18" x14ac:dyDescent="0.15">
      <c r="B28" s="24" t="s">
        <v>37</v>
      </c>
      <c r="C28" s="28"/>
      <c r="D28" s="28"/>
      <c r="E28" s="28"/>
      <c r="F28" s="28"/>
      <c r="G28" s="28"/>
      <c r="H28" s="28"/>
      <c r="I28" s="28"/>
      <c r="J28" s="28"/>
      <c r="K28" s="29"/>
      <c r="L28" s="17">
        <f>D29/C29</f>
        <v>0.71</v>
      </c>
      <c r="M28" s="18">
        <f>L28*1.1</f>
        <v>0.78100000000000003</v>
      </c>
      <c r="N28" s="18"/>
      <c r="O28" s="18"/>
      <c r="P28" s="18"/>
      <c r="Q28" s="18"/>
      <c r="R28" s="18"/>
    </row>
    <row r="29" spans="2:18" x14ac:dyDescent="0.15">
      <c r="B29" s="22" t="s">
        <v>136</v>
      </c>
      <c r="C29" s="76">
        <f>C49</f>
        <v>0.79200000000000004</v>
      </c>
      <c r="D29" s="76">
        <f t="shared" ref="D29:E29" si="2">D49</f>
        <v>0.56232000000000004</v>
      </c>
      <c r="E29" s="76">
        <f t="shared" si="2"/>
        <v>0.41184000000000004</v>
      </c>
      <c r="F29" s="76">
        <v>0.7</v>
      </c>
      <c r="G29" s="76">
        <v>1.2</v>
      </c>
      <c r="H29" s="76">
        <v>0.31</v>
      </c>
      <c r="I29" s="77">
        <v>0.71</v>
      </c>
      <c r="J29" s="78" t="s">
        <v>137</v>
      </c>
      <c r="K29" s="79" t="s">
        <v>116</v>
      </c>
      <c r="L29" s="17"/>
      <c r="M29" s="35"/>
      <c r="N29" s="35"/>
      <c r="O29" s="35"/>
      <c r="P29" s="35"/>
      <c r="Q29" s="18"/>
      <c r="R29" s="18"/>
    </row>
    <row r="30" spans="2:18" x14ac:dyDescent="0.15">
      <c r="B30" s="22" t="s">
        <v>40</v>
      </c>
      <c r="C30" s="80">
        <f>C46/C48</f>
        <v>0.44444444444444448</v>
      </c>
      <c r="D30" s="80">
        <f t="shared" ref="D30:E30" si="3">D46/D48</f>
        <v>0.39123630672926452</v>
      </c>
      <c r="E30" s="80">
        <f t="shared" si="3"/>
        <v>0.34722222222222221</v>
      </c>
      <c r="F30" s="81"/>
      <c r="G30" s="81"/>
      <c r="H30" s="81"/>
      <c r="I30" s="81"/>
      <c r="J30" s="78"/>
      <c r="K30" s="78"/>
      <c r="L30" s="17"/>
      <c r="M30" s="35"/>
      <c r="N30" s="35"/>
      <c r="O30" s="35"/>
      <c r="P30" s="35"/>
      <c r="Q30" s="18"/>
      <c r="R30" s="18"/>
    </row>
    <row r="31" spans="2:18" x14ac:dyDescent="0.15">
      <c r="B31" s="22" t="s">
        <v>41</v>
      </c>
      <c r="C31" s="80">
        <f>100%-C30</f>
        <v>0.55555555555555558</v>
      </c>
      <c r="D31" s="80">
        <f t="shared" ref="D31:E31" si="4">100%-D30</f>
        <v>0.60876369327073543</v>
      </c>
      <c r="E31" s="80">
        <f t="shared" si="4"/>
        <v>0.65277777777777779</v>
      </c>
      <c r="F31" s="81"/>
      <c r="G31" s="81"/>
      <c r="H31" s="81"/>
      <c r="I31" s="81"/>
      <c r="J31" s="78"/>
      <c r="K31" s="78"/>
      <c r="L31" s="17"/>
      <c r="M31" s="35"/>
      <c r="N31" s="35"/>
      <c r="O31" s="35"/>
      <c r="P31" s="35"/>
      <c r="Q31" s="18"/>
      <c r="R31" s="18"/>
    </row>
    <row r="32" spans="2:18" x14ac:dyDescent="0.15">
      <c r="B32" s="22" t="s">
        <v>42</v>
      </c>
      <c r="C32" s="82">
        <f>0.02*C48*1000000</f>
        <v>14400</v>
      </c>
      <c r="D32" s="82">
        <v>10000</v>
      </c>
      <c r="E32" s="82">
        <v>8000</v>
      </c>
      <c r="F32" s="82">
        <f>MROUND($C32*0.75,100)</f>
        <v>10800</v>
      </c>
      <c r="G32" s="82">
        <f>MROUND($C32*1.25,100)</f>
        <v>18000</v>
      </c>
      <c r="H32" s="83">
        <f>MROUND($E32*2/3,100)</f>
        <v>5300</v>
      </c>
      <c r="I32" s="83">
        <f>MROUND($E32*4/3,100)</f>
        <v>10700</v>
      </c>
      <c r="J32" s="84" t="s">
        <v>138</v>
      </c>
      <c r="K32" s="79" t="s">
        <v>139</v>
      </c>
      <c r="L32" s="17"/>
      <c r="M32" s="35"/>
      <c r="N32" s="35"/>
      <c r="O32" s="35"/>
      <c r="P32" s="35"/>
      <c r="Q32" s="18"/>
      <c r="R32" s="18"/>
    </row>
    <row r="33" spans="1:18" x14ac:dyDescent="0.15">
      <c r="B33" s="22" t="s">
        <v>45</v>
      </c>
      <c r="C33" s="85">
        <v>0</v>
      </c>
      <c r="D33" s="85">
        <v>0</v>
      </c>
      <c r="E33" s="85">
        <v>0</v>
      </c>
      <c r="F33" s="85"/>
      <c r="G33" s="85"/>
      <c r="H33" s="85"/>
      <c r="I33" s="83"/>
      <c r="J33" s="78"/>
      <c r="K33" s="79"/>
      <c r="L33" s="17"/>
      <c r="M33" s="35"/>
      <c r="N33" s="35"/>
      <c r="O33" s="35"/>
      <c r="P33" s="35"/>
      <c r="Q33" s="18"/>
      <c r="R33" s="18"/>
    </row>
    <row r="34" spans="1:18" x14ac:dyDescent="0.15">
      <c r="B34" s="22" t="s">
        <v>46</v>
      </c>
      <c r="C34" s="85">
        <v>0</v>
      </c>
      <c r="D34" s="85">
        <v>0</v>
      </c>
      <c r="E34" s="85">
        <v>0</v>
      </c>
      <c r="F34" s="85"/>
      <c r="G34" s="85"/>
      <c r="H34" s="85"/>
      <c r="I34" s="83"/>
      <c r="J34" s="78"/>
      <c r="K34" s="79"/>
      <c r="L34" s="261"/>
      <c r="M34" s="261"/>
      <c r="N34" s="261"/>
      <c r="O34" s="261"/>
      <c r="P34" s="261"/>
      <c r="Q34" s="261"/>
      <c r="R34" s="261"/>
    </row>
    <row r="35" spans="1:18" x14ac:dyDescent="0.15">
      <c r="B35" s="86" t="s">
        <v>47</v>
      </c>
      <c r="C35" s="87"/>
      <c r="D35" s="87"/>
      <c r="E35" s="87"/>
      <c r="F35" s="87"/>
      <c r="G35" s="87"/>
      <c r="H35" s="87"/>
      <c r="I35" s="87"/>
      <c r="J35" s="87"/>
      <c r="K35" s="88"/>
      <c r="M35" s="18"/>
      <c r="N35" s="18"/>
      <c r="O35" s="18"/>
      <c r="P35" s="18"/>
      <c r="Q35" s="18"/>
      <c r="R35" s="18"/>
    </row>
    <row r="36" spans="1:18" ht="15" customHeight="1" x14ac:dyDescent="0.15">
      <c r="B36" s="89" t="s">
        <v>140</v>
      </c>
      <c r="C36" s="90">
        <v>1800</v>
      </c>
      <c r="D36" s="90">
        <v>1800</v>
      </c>
      <c r="E36" s="90">
        <v>1800</v>
      </c>
      <c r="F36" s="91"/>
      <c r="G36" s="91"/>
      <c r="H36" s="83"/>
      <c r="I36" s="83"/>
      <c r="J36" s="83" t="s">
        <v>77</v>
      </c>
      <c r="K36" s="92">
        <v>8</v>
      </c>
      <c r="M36" s="18"/>
      <c r="N36" s="18"/>
      <c r="O36" s="18"/>
      <c r="P36" s="18"/>
      <c r="Q36" s="18"/>
      <c r="R36" s="18"/>
    </row>
    <row r="37" spans="1:18" ht="15" customHeight="1" x14ac:dyDescent="0.15">
      <c r="B37" s="89" t="s">
        <v>141</v>
      </c>
      <c r="C37" s="93">
        <v>1.1000000000000001</v>
      </c>
      <c r="D37" s="93">
        <v>1.1000000000000001</v>
      </c>
      <c r="E37" s="93">
        <v>1.1000000000000001</v>
      </c>
      <c r="F37" s="91"/>
      <c r="G37" s="91"/>
      <c r="H37" s="83"/>
      <c r="I37" s="83"/>
      <c r="J37" s="83" t="s">
        <v>142</v>
      </c>
      <c r="K37" s="92"/>
      <c r="Q37" s="18"/>
      <c r="R37" s="18"/>
    </row>
    <row r="38" spans="1:18" ht="15" customHeight="1" x14ac:dyDescent="0.15">
      <c r="B38" s="89" t="s">
        <v>143</v>
      </c>
      <c r="C38" s="93">
        <v>1.01</v>
      </c>
      <c r="D38" s="93">
        <v>1.01</v>
      </c>
      <c r="E38" s="93">
        <v>1.01</v>
      </c>
      <c r="F38" s="91"/>
      <c r="G38" s="91"/>
      <c r="H38" s="83"/>
      <c r="I38" s="83"/>
      <c r="J38" s="83" t="s">
        <v>144</v>
      </c>
      <c r="K38" s="92">
        <v>8</v>
      </c>
      <c r="Q38" s="18"/>
      <c r="R38" s="18"/>
    </row>
    <row r="39" spans="1:18" ht="15" customHeight="1" x14ac:dyDescent="0.15">
      <c r="B39" s="89" t="s">
        <v>145</v>
      </c>
      <c r="C39" s="93">
        <v>0.86</v>
      </c>
      <c r="D39" s="93">
        <v>0.95</v>
      </c>
      <c r="E39" s="93">
        <v>0.97</v>
      </c>
      <c r="F39" s="91"/>
      <c r="G39" s="91"/>
      <c r="H39" s="83"/>
      <c r="I39" s="83"/>
      <c r="J39" s="83" t="s">
        <v>146</v>
      </c>
      <c r="K39" s="92">
        <v>5.6</v>
      </c>
      <c r="Q39" s="18"/>
      <c r="R39" s="18"/>
    </row>
    <row r="40" spans="1:18" ht="15" customHeight="1" x14ac:dyDescent="0.15">
      <c r="B40" s="89" t="s">
        <v>147</v>
      </c>
      <c r="C40" s="94">
        <v>0.20499999999999999</v>
      </c>
      <c r="D40" s="94">
        <v>0.23</v>
      </c>
      <c r="E40" s="94">
        <v>0.26</v>
      </c>
      <c r="F40" s="95"/>
      <c r="G40" s="95"/>
      <c r="H40" s="83"/>
      <c r="I40" s="83"/>
      <c r="J40" s="83"/>
      <c r="K40" s="92">
        <v>6</v>
      </c>
      <c r="Q40" s="18"/>
      <c r="R40" s="18"/>
    </row>
    <row r="41" spans="1:18" x14ac:dyDescent="0.15">
      <c r="A41" s="3"/>
      <c r="B41" s="96" t="s">
        <v>148</v>
      </c>
      <c r="C41" s="97">
        <v>15</v>
      </c>
      <c r="D41" s="97">
        <v>15</v>
      </c>
      <c r="E41" s="97">
        <v>15</v>
      </c>
      <c r="F41" s="98" t="s">
        <v>149</v>
      </c>
      <c r="G41" s="98"/>
      <c r="H41" s="99"/>
      <c r="I41" s="99"/>
      <c r="J41" s="78"/>
      <c r="K41" s="78">
        <v>6</v>
      </c>
    </row>
    <row r="42" spans="1:18" x14ac:dyDescent="0.15">
      <c r="A42" s="3"/>
      <c r="B42" s="100" t="s">
        <v>150</v>
      </c>
      <c r="C42" s="101"/>
      <c r="D42" s="101"/>
      <c r="E42" s="101"/>
      <c r="F42" s="101"/>
      <c r="G42" s="101"/>
      <c r="H42" s="102"/>
      <c r="I42" s="102"/>
      <c r="J42" s="87"/>
      <c r="K42" s="88"/>
    </row>
    <row r="43" spans="1:18" x14ac:dyDescent="0.15">
      <c r="A43" s="3"/>
      <c r="B43" s="103" t="s">
        <v>151</v>
      </c>
      <c r="C43" s="104">
        <f>MROUND(C44*C37,50)</f>
        <v>1700</v>
      </c>
      <c r="D43" s="104">
        <f>MROUND(D44*D37,50)</f>
        <v>1950</v>
      </c>
      <c r="E43" s="104">
        <f>MROUND(E44*E37,50)</f>
        <v>1950</v>
      </c>
      <c r="F43" s="105"/>
      <c r="G43" s="105" t="s">
        <v>149</v>
      </c>
      <c r="H43" s="106"/>
      <c r="I43" s="106"/>
      <c r="J43" s="83" t="s">
        <v>152</v>
      </c>
      <c r="K43" s="92"/>
    </row>
    <row r="44" spans="1:18" x14ac:dyDescent="0.15">
      <c r="A44" s="3"/>
      <c r="B44" s="89" t="s">
        <v>153</v>
      </c>
      <c r="C44" s="90">
        <f>MROUND(C36*C38*C39,50)</f>
        <v>1550</v>
      </c>
      <c r="D44" s="90">
        <f>MROUND(D36*D38*D39,50)</f>
        <v>1750</v>
      </c>
      <c r="E44" s="90">
        <f>MROUND(E36*E38*E39,50)</f>
        <v>1750</v>
      </c>
      <c r="F44" s="91"/>
      <c r="G44" s="91" t="s">
        <v>149</v>
      </c>
      <c r="H44" s="83"/>
      <c r="I44" s="83"/>
      <c r="J44" s="78" t="s">
        <v>154</v>
      </c>
      <c r="K44" s="78"/>
      <c r="M44" s="107"/>
    </row>
    <row r="45" spans="1:18" x14ac:dyDescent="0.15">
      <c r="A45" s="3"/>
      <c r="B45" s="100" t="s">
        <v>155</v>
      </c>
      <c r="C45" s="101"/>
      <c r="D45" s="101"/>
      <c r="E45" s="101"/>
      <c r="F45" s="101"/>
      <c r="G45" s="101"/>
      <c r="H45" s="102"/>
      <c r="I45" s="102"/>
      <c r="J45" s="87"/>
      <c r="K45" s="88"/>
      <c r="M45" s="107"/>
      <c r="N45" s="107"/>
      <c r="O45" s="107"/>
    </row>
    <row r="46" spans="1:18" x14ac:dyDescent="0.15">
      <c r="A46" s="3"/>
      <c r="B46" s="108" t="s">
        <v>156</v>
      </c>
      <c r="C46" s="93">
        <v>0.32</v>
      </c>
      <c r="D46" s="93">
        <v>0.2</v>
      </c>
      <c r="E46" s="93">
        <v>0.13</v>
      </c>
      <c r="F46" s="91"/>
      <c r="G46" s="91"/>
      <c r="H46" s="83"/>
      <c r="I46" s="83"/>
      <c r="J46" s="83"/>
      <c r="K46" s="92">
        <v>6.9</v>
      </c>
      <c r="M46" s="109"/>
      <c r="N46" s="109"/>
      <c r="O46" s="109"/>
    </row>
    <row r="47" spans="1:18" x14ac:dyDescent="0.15">
      <c r="A47" s="3"/>
      <c r="B47" s="108" t="s">
        <v>157</v>
      </c>
      <c r="C47" s="110">
        <f>C48-C46</f>
        <v>0.39999999999999997</v>
      </c>
      <c r="D47" s="110">
        <f t="shared" ref="D47:E47" si="5">D48-D46</f>
        <v>0.31119999999999998</v>
      </c>
      <c r="E47" s="110">
        <f t="shared" si="5"/>
        <v>0.24440000000000001</v>
      </c>
      <c r="F47" s="91"/>
      <c r="G47" s="91"/>
      <c r="H47" s="83"/>
      <c r="I47" s="83"/>
      <c r="J47" s="83"/>
      <c r="K47" s="92">
        <v>6.9</v>
      </c>
      <c r="M47" s="109"/>
      <c r="N47" s="109"/>
      <c r="O47" s="109"/>
    </row>
    <row r="48" spans="1:18" x14ac:dyDescent="0.15">
      <c r="A48" s="3"/>
      <c r="B48" s="108" t="s">
        <v>158</v>
      </c>
      <c r="C48" s="110">
        <v>0.72</v>
      </c>
      <c r="D48" s="110">
        <f>C48*0.71</f>
        <v>0.51119999999999999</v>
      </c>
      <c r="E48" s="110">
        <f>C48*0.52</f>
        <v>0.37440000000000001</v>
      </c>
      <c r="F48" s="91"/>
      <c r="G48" s="91"/>
      <c r="H48" s="83"/>
      <c r="I48" s="83"/>
      <c r="J48" s="83" t="s">
        <v>159</v>
      </c>
      <c r="K48" s="91" t="s">
        <v>160</v>
      </c>
      <c r="M48" s="111"/>
      <c r="N48" s="111"/>
      <c r="O48" s="111"/>
    </row>
    <row r="49" spans="1:16" x14ac:dyDescent="0.15">
      <c r="A49" s="3"/>
      <c r="B49" s="89" t="s">
        <v>161</v>
      </c>
      <c r="C49" s="110">
        <f>C48*1.1</f>
        <v>0.79200000000000004</v>
      </c>
      <c r="D49" s="110">
        <f t="shared" ref="D49:E49" si="6">D48*1.1</f>
        <v>0.56232000000000004</v>
      </c>
      <c r="E49" s="110">
        <f t="shared" si="6"/>
        <v>0.41184000000000004</v>
      </c>
      <c r="F49" s="91"/>
      <c r="G49" s="91"/>
      <c r="H49" s="83"/>
      <c r="I49" s="83"/>
      <c r="J49" s="83" t="s">
        <v>162</v>
      </c>
      <c r="K49" s="91"/>
    </row>
    <row r="50" spans="1:16" x14ac:dyDescent="0.15">
      <c r="A50" s="3"/>
      <c r="B50" s="4"/>
      <c r="C50" s="4"/>
      <c r="D50" s="4"/>
      <c r="E50" s="4"/>
      <c r="F50" s="4"/>
      <c r="G50" s="4"/>
      <c r="H50" s="4"/>
      <c r="I50" s="112"/>
      <c r="J50" s="112"/>
      <c r="K50" s="113"/>
    </row>
    <row r="51" spans="1:16" s="1" customFormat="1" x14ac:dyDescent="0.15">
      <c r="A51" s="3" t="s">
        <v>50</v>
      </c>
      <c r="C51" s="40"/>
      <c r="D51" s="40"/>
      <c r="E51" s="40"/>
      <c r="F51" s="40"/>
      <c r="G51" s="40"/>
      <c r="M51" s="4"/>
      <c r="N51" s="4"/>
      <c r="O51" s="4"/>
      <c r="P51" s="4"/>
    </row>
    <row r="52" spans="1:16" x14ac:dyDescent="0.15">
      <c r="A52" s="53">
        <v>1</v>
      </c>
      <c r="B52" s="53" t="s">
        <v>51</v>
      </c>
    </row>
    <row r="53" spans="1:16" x14ac:dyDescent="0.15">
      <c r="A53" s="53">
        <v>2</v>
      </c>
      <c r="B53" s="53" t="s">
        <v>163</v>
      </c>
    </row>
    <row r="54" spans="1:16" x14ac:dyDescent="0.15">
      <c r="A54" s="53">
        <v>3</v>
      </c>
      <c r="B54" s="53" t="s">
        <v>164</v>
      </c>
    </row>
    <row r="55" spans="1:16" x14ac:dyDescent="0.15">
      <c r="A55" s="53">
        <v>4</v>
      </c>
      <c r="B55" s="53" t="s">
        <v>54</v>
      </c>
    </row>
    <row r="56" spans="1:16" x14ac:dyDescent="0.15">
      <c r="A56" s="53">
        <v>5</v>
      </c>
      <c r="B56" s="53" t="s">
        <v>165</v>
      </c>
    </row>
    <row r="57" spans="1:16" x14ac:dyDescent="0.15">
      <c r="A57" s="53">
        <v>6</v>
      </c>
      <c r="B57" s="53" t="s">
        <v>166</v>
      </c>
    </row>
    <row r="58" spans="1:16" x14ac:dyDescent="0.15">
      <c r="A58" s="53">
        <v>7</v>
      </c>
      <c r="B58" s="53" t="s">
        <v>167</v>
      </c>
    </row>
    <row r="59" spans="1:16" x14ac:dyDescent="0.15">
      <c r="A59" s="53">
        <v>8</v>
      </c>
      <c r="B59" s="53" t="s">
        <v>168</v>
      </c>
    </row>
    <row r="60" spans="1:16" x14ac:dyDescent="0.15">
      <c r="A60" s="53">
        <v>9</v>
      </c>
      <c r="B60" s="53" t="s">
        <v>169</v>
      </c>
    </row>
    <row r="61" spans="1:16" x14ac:dyDescent="0.15">
      <c r="A61" s="3" t="s">
        <v>59</v>
      </c>
    </row>
    <row r="62" spans="1:16" ht="27.75" customHeight="1" x14ac:dyDescent="0.15">
      <c r="A62" s="52" t="s">
        <v>13</v>
      </c>
      <c r="B62" s="255" t="s">
        <v>170</v>
      </c>
      <c r="C62" s="255"/>
      <c r="D62" s="255"/>
      <c r="E62" s="255"/>
      <c r="F62" s="255"/>
      <c r="G62" s="255"/>
      <c r="H62" s="255"/>
      <c r="I62" s="255"/>
      <c r="J62" s="255"/>
      <c r="K62" s="255"/>
    </row>
    <row r="63" spans="1:16" ht="13.5" customHeight="1" x14ac:dyDescent="0.15">
      <c r="A63" s="52" t="s">
        <v>61</v>
      </c>
      <c r="B63" s="75" t="s">
        <v>171</v>
      </c>
      <c r="C63" s="65"/>
      <c r="D63" s="65"/>
      <c r="E63" s="65"/>
      <c r="F63" s="65"/>
      <c r="G63" s="65"/>
      <c r="H63" s="65"/>
      <c r="I63" s="65"/>
      <c r="J63" s="65"/>
      <c r="K63" s="65"/>
    </row>
    <row r="64" spans="1:16" ht="15" customHeight="1" x14ac:dyDescent="0.15">
      <c r="A64" s="52" t="s">
        <v>32</v>
      </c>
      <c r="B64" s="75" t="s">
        <v>172</v>
      </c>
      <c r="C64" s="65"/>
      <c r="D64" s="65"/>
      <c r="E64" s="65"/>
      <c r="F64" s="65"/>
      <c r="G64" s="65"/>
      <c r="H64" s="65"/>
      <c r="I64" s="65"/>
      <c r="J64" s="65"/>
      <c r="K64" s="65"/>
    </row>
    <row r="65" spans="1:11" x14ac:dyDescent="0.15">
      <c r="A65" s="52" t="s">
        <v>64</v>
      </c>
      <c r="B65" s="75" t="s">
        <v>173</v>
      </c>
      <c r="C65" s="65"/>
      <c r="D65" s="65"/>
      <c r="E65" s="65"/>
      <c r="F65" s="65"/>
      <c r="G65" s="65"/>
      <c r="H65" s="65"/>
      <c r="I65" s="65"/>
      <c r="J65" s="65"/>
      <c r="K65" s="65"/>
    </row>
    <row r="66" spans="1:11" x14ac:dyDescent="0.15">
      <c r="A66" s="52" t="s">
        <v>66</v>
      </c>
      <c r="B66" s="75" t="s">
        <v>75</v>
      </c>
      <c r="C66" s="65"/>
      <c r="D66" s="65"/>
      <c r="E66" s="65"/>
      <c r="F66" s="65"/>
      <c r="G66" s="65"/>
      <c r="H66" s="65"/>
      <c r="I66" s="65"/>
      <c r="J66" s="65"/>
      <c r="K66" s="65"/>
    </row>
    <row r="67" spans="1:11" ht="26.25" customHeight="1" x14ac:dyDescent="0.15">
      <c r="A67" s="52" t="s">
        <v>77</v>
      </c>
      <c r="B67" s="255" t="s">
        <v>174</v>
      </c>
      <c r="C67" s="255"/>
      <c r="D67" s="255"/>
      <c r="E67" s="255"/>
      <c r="F67" s="255"/>
      <c r="G67" s="255"/>
      <c r="H67" s="255"/>
      <c r="I67" s="255"/>
      <c r="J67" s="255"/>
      <c r="K67" s="255"/>
    </row>
    <row r="68" spans="1:11" ht="25.5" customHeight="1" x14ac:dyDescent="0.15">
      <c r="A68" s="52" t="s">
        <v>142</v>
      </c>
      <c r="B68" s="255" t="s">
        <v>175</v>
      </c>
      <c r="C68" s="255"/>
      <c r="D68" s="255"/>
      <c r="E68" s="255"/>
      <c r="F68" s="255"/>
      <c r="G68" s="255"/>
      <c r="H68" s="255"/>
      <c r="I68" s="255"/>
      <c r="J68" s="255"/>
      <c r="K68" s="255"/>
    </row>
    <row r="69" spans="1:11" ht="39" customHeight="1" x14ac:dyDescent="0.15">
      <c r="A69" s="52" t="s">
        <v>144</v>
      </c>
      <c r="B69" s="255" t="s">
        <v>176</v>
      </c>
      <c r="C69" s="255"/>
      <c r="D69" s="255"/>
      <c r="E69" s="255"/>
      <c r="F69" s="255"/>
      <c r="G69" s="255"/>
      <c r="H69" s="255"/>
      <c r="I69" s="255"/>
      <c r="J69" s="255"/>
      <c r="K69" s="255"/>
    </row>
    <row r="70" spans="1:11" ht="90.75" customHeight="1" x14ac:dyDescent="0.15">
      <c r="A70" s="52" t="s">
        <v>146</v>
      </c>
      <c r="B70" s="255" t="s">
        <v>177</v>
      </c>
      <c r="C70" s="255"/>
      <c r="D70" s="255"/>
      <c r="E70" s="255"/>
      <c r="F70" s="255"/>
      <c r="G70" s="255"/>
      <c r="H70" s="255"/>
      <c r="I70" s="255"/>
      <c r="J70" s="255"/>
      <c r="K70" s="255"/>
    </row>
    <row r="71" spans="1:11" ht="25.5" customHeight="1" x14ac:dyDescent="0.15">
      <c r="A71" s="52" t="s">
        <v>178</v>
      </c>
      <c r="B71" s="255" t="s">
        <v>179</v>
      </c>
      <c r="C71" s="255"/>
      <c r="D71" s="255"/>
      <c r="E71" s="255"/>
      <c r="F71" s="255"/>
      <c r="G71" s="255"/>
      <c r="H71" s="255"/>
      <c r="I71" s="255"/>
      <c r="J71" s="255"/>
      <c r="K71" s="255"/>
    </row>
    <row r="72" spans="1:11" ht="24.75" customHeight="1" x14ac:dyDescent="0.15">
      <c r="A72" s="52" t="s">
        <v>180</v>
      </c>
      <c r="B72" s="255" t="s">
        <v>181</v>
      </c>
      <c r="C72" s="255"/>
      <c r="D72" s="255"/>
      <c r="E72" s="255"/>
      <c r="F72" s="255"/>
      <c r="G72" s="255"/>
      <c r="H72" s="255"/>
      <c r="I72" s="255"/>
      <c r="J72" s="255"/>
      <c r="K72" s="255"/>
    </row>
    <row r="73" spans="1:11" ht="16.5" customHeight="1" x14ac:dyDescent="0.15">
      <c r="A73" s="52" t="s">
        <v>182</v>
      </c>
      <c r="B73" s="75" t="s">
        <v>183</v>
      </c>
      <c r="C73" s="65"/>
      <c r="D73" s="65"/>
      <c r="E73" s="65"/>
      <c r="F73" s="65"/>
      <c r="G73" s="65"/>
      <c r="H73" s="65"/>
      <c r="I73" s="65"/>
      <c r="J73" s="65"/>
      <c r="K73" s="65"/>
    </row>
    <row r="74" spans="1:11" ht="71.25" customHeight="1" x14ac:dyDescent="0.15">
      <c r="A74" s="52" t="s">
        <v>159</v>
      </c>
      <c r="B74" s="255" t="s">
        <v>184</v>
      </c>
      <c r="C74" s="255"/>
      <c r="D74" s="255"/>
      <c r="E74" s="255"/>
      <c r="F74" s="255"/>
      <c r="G74" s="255"/>
      <c r="H74" s="255"/>
      <c r="I74" s="255"/>
      <c r="J74" s="255"/>
      <c r="K74" s="255"/>
    </row>
    <row r="75" spans="1:11" ht="27.75" customHeight="1" x14ac:dyDescent="0.15">
      <c r="A75" s="52" t="s">
        <v>185</v>
      </c>
      <c r="B75" s="255" t="s">
        <v>186</v>
      </c>
      <c r="C75" s="255"/>
      <c r="D75" s="255"/>
      <c r="E75" s="255"/>
      <c r="F75" s="255"/>
      <c r="G75" s="255"/>
      <c r="H75" s="255"/>
      <c r="I75" s="255"/>
      <c r="J75" s="255"/>
      <c r="K75" s="255"/>
    </row>
    <row r="76" spans="1:11" ht="21.75" customHeight="1" x14ac:dyDescent="0.15">
      <c r="A76" s="52" t="s">
        <v>187</v>
      </c>
      <c r="B76" s="255" t="s">
        <v>188</v>
      </c>
      <c r="C76" s="255"/>
      <c r="D76" s="255"/>
      <c r="E76" s="255"/>
      <c r="F76" s="255"/>
      <c r="G76" s="255"/>
      <c r="H76" s="255"/>
      <c r="I76" s="255"/>
      <c r="J76" s="255"/>
      <c r="K76" s="255"/>
    </row>
    <row r="77" spans="1:11" x14ac:dyDescent="0.15">
      <c r="A77" s="52" t="s">
        <v>189</v>
      </c>
      <c r="B77" s="53" t="s">
        <v>76</v>
      </c>
    </row>
    <row r="78" spans="1:11" ht="45" customHeight="1" x14ac:dyDescent="0.15">
      <c r="A78" s="59" t="s">
        <v>190</v>
      </c>
      <c r="B78" s="262" t="s">
        <v>191</v>
      </c>
      <c r="C78" s="262"/>
      <c r="D78" s="262"/>
      <c r="E78" s="262"/>
      <c r="F78" s="262"/>
      <c r="G78" s="262"/>
      <c r="H78" s="262"/>
      <c r="I78" s="262"/>
      <c r="J78" s="262"/>
      <c r="K78" s="262"/>
    </row>
  </sheetData>
  <mergeCells count="19">
    <mergeCell ref="B69:K69"/>
    <mergeCell ref="C3:K3"/>
    <mergeCell ref="M3:R3"/>
    <mergeCell ref="F4:G4"/>
    <mergeCell ref="H4:I4"/>
    <mergeCell ref="L5:R5"/>
    <mergeCell ref="L22:R22"/>
    <mergeCell ref="L27:R27"/>
    <mergeCell ref="L34:R34"/>
    <mergeCell ref="B62:K62"/>
    <mergeCell ref="B67:K67"/>
    <mergeCell ref="B68:K68"/>
    <mergeCell ref="B78:K78"/>
    <mergeCell ref="B70:K70"/>
    <mergeCell ref="B71:K71"/>
    <mergeCell ref="B72:K72"/>
    <mergeCell ref="B74:K74"/>
    <mergeCell ref="B75:K75"/>
    <mergeCell ref="B76:K7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95156-A5F6-460A-8E5F-62F1065457BE}">
  <sheetPr>
    <tabColor rgb="FFFFC000"/>
  </sheetPr>
  <dimension ref="A1:R78"/>
  <sheetViews>
    <sheetView zoomScale="70" zoomScaleNormal="70" zoomScaleSheetLayoutView="120" workbookViewId="0">
      <selection activeCell="O48" sqref="O48"/>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30.1640625" style="4" customWidth="1"/>
    <col min="13" max="13" width="10.33203125" style="4" customWidth="1"/>
    <col min="14" max="14" width="9.6640625" style="4" customWidth="1"/>
    <col min="15" max="15" width="10" style="4" customWidth="1"/>
    <col min="16" max="16" width="7.83203125" style="4" customWidth="1"/>
    <col min="17" max="17" width="7.1640625" style="4" customWidth="1"/>
    <col min="18" max="18" width="7.6640625" style="4" customWidth="1"/>
    <col min="19" max="16384" width="9.1640625" style="4"/>
  </cols>
  <sheetData>
    <row r="1" spans="2:18" ht="20" x14ac:dyDescent="0.2">
      <c r="B1" s="2" t="s">
        <v>0</v>
      </c>
    </row>
    <row r="3" spans="2:18" ht="15" customHeight="1" x14ac:dyDescent="0.15">
      <c r="B3" s="5" t="s">
        <v>1</v>
      </c>
      <c r="C3" s="256" t="s">
        <v>192</v>
      </c>
      <c r="D3" s="256"/>
      <c r="E3" s="256"/>
      <c r="F3" s="256"/>
      <c r="G3" s="256"/>
      <c r="H3" s="256"/>
      <c r="I3" s="256"/>
      <c r="J3" s="256"/>
      <c r="K3" s="257"/>
      <c r="L3" s="63"/>
      <c r="M3" s="258"/>
      <c r="N3" s="259"/>
      <c r="O3" s="259"/>
      <c r="P3" s="259"/>
      <c r="Q3" s="259"/>
      <c r="R3" s="259"/>
    </row>
    <row r="4" spans="2:18" ht="16.5" customHeight="1" x14ac:dyDescent="0.15">
      <c r="B4" s="6"/>
      <c r="C4" s="7">
        <v>2020</v>
      </c>
      <c r="D4" s="7">
        <v>2030</v>
      </c>
      <c r="E4" s="7">
        <v>2050</v>
      </c>
      <c r="F4" s="260" t="s">
        <v>3</v>
      </c>
      <c r="G4" s="257"/>
      <c r="H4" s="260" t="s">
        <v>4</v>
      </c>
      <c r="I4" s="257"/>
      <c r="J4" s="7" t="s">
        <v>5</v>
      </c>
      <c r="K4" s="7" t="s">
        <v>6</v>
      </c>
      <c r="L4" s="8"/>
      <c r="M4" s="9"/>
      <c r="N4" s="9"/>
      <c r="O4" s="9"/>
      <c r="P4" s="9"/>
      <c r="Q4" s="9"/>
      <c r="R4" s="9"/>
    </row>
    <row r="5" spans="2:18" ht="15" customHeight="1" x14ac:dyDescent="0.15">
      <c r="B5" s="10" t="s">
        <v>7</v>
      </c>
      <c r="C5" s="11"/>
      <c r="D5" s="11"/>
      <c r="E5" s="11"/>
      <c r="F5" s="62" t="s">
        <v>8</v>
      </c>
      <c r="G5" s="62" t="s">
        <v>9</v>
      </c>
      <c r="H5" s="62" t="s">
        <v>8</v>
      </c>
      <c r="I5" s="62" t="s">
        <v>9</v>
      </c>
      <c r="J5" s="11"/>
      <c r="K5" s="12"/>
      <c r="L5" s="261"/>
      <c r="M5" s="261"/>
      <c r="N5" s="261"/>
      <c r="O5" s="261"/>
      <c r="P5" s="261"/>
      <c r="Q5" s="261"/>
      <c r="R5" s="261"/>
    </row>
    <row r="6" spans="2:18" ht="25.5" customHeight="1" x14ac:dyDescent="0.15">
      <c r="B6" s="13" t="s">
        <v>193</v>
      </c>
      <c r="C6" s="47">
        <v>5</v>
      </c>
      <c r="D6" s="47">
        <v>5</v>
      </c>
      <c r="E6" s="68">
        <v>5</v>
      </c>
      <c r="F6" s="114"/>
      <c r="G6" s="47"/>
      <c r="H6" s="47"/>
      <c r="I6" s="47"/>
      <c r="J6" s="15" t="s">
        <v>32</v>
      </c>
      <c r="K6" s="50" t="s">
        <v>112</v>
      </c>
      <c r="L6" s="17"/>
      <c r="M6" s="60"/>
      <c r="N6" s="61"/>
      <c r="O6" s="61"/>
      <c r="P6" s="61"/>
      <c r="Q6" s="61"/>
      <c r="R6" s="61"/>
    </row>
    <row r="7" spans="2:18" x14ac:dyDescent="0.15">
      <c r="B7" s="13" t="s">
        <v>12</v>
      </c>
      <c r="C7" s="47" t="s">
        <v>31</v>
      </c>
      <c r="D7" s="47" t="s">
        <v>31</v>
      </c>
      <c r="E7" s="68" t="s">
        <v>31</v>
      </c>
      <c r="F7" s="114"/>
      <c r="G7" s="47"/>
      <c r="H7" s="47"/>
      <c r="I7" s="47"/>
      <c r="J7" s="15" t="s">
        <v>13</v>
      </c>
      <c r="K7" s="46"/>
      <c r="L7" s="17"/>
      <c r="M7" s="18"/>
      <c r="N7" s="18"/>
      <c r="O7" s="18"/>
      <c r="P7" s="18"/>
      <c r="Q7" s="18"/>
      <c r="R7" s="18"/>
    </row>
    <row r="8" spans="2:18" ht="27.75" customHeight="1" x14ac:dyDescent="0.15">
      <c r="B8" s="19" t="s">
        <v>14</v>
      </c>
      <c r="C8" s="47" t="s">
        <v>31</v>
      </c>
      <c r="D8" s="47" t="s">
        <v>31</v>
      </c>
      <c r="E8" s="68" t="s">
        <v>31</v>
      </c>
      <c r="F8" s="114"/>
      <c r="G8" s="47"/>
      <c r="H8" s="47"/>
      <c r="I8" s="47"/>
      <c r="J8" s="20" t="s">
        <v>13</v>
      </c>
      <c r="K8" s="66"/>
      <c r="L8" s="17"/>
      <c r="M8" s="18"/>
      <c r="N8" s="18"/>
      <c r="O8" s="18"/>
      <c r="P8" s="18"/>
      <c r="Q8" s="18"/>
      <c r="R8" s="18"/>
    </row>
    <row r="9" spans="2:18" ht="27.75" customHeight="1" x14ac:dyDescent="0.15">
      <c r="B9" s="13" t="s">
        <v>15</v>
      </c>
      <c r="C9" s="47" t="s">
        <v>31</v>
      </c>
      <c r="D9" s="47" t="s">
        <v>31</v>
      </c>
      <c r="E9" s="68" t="s">
        <v>31</v>
      </c>
      <c r="F9" s="114"/>
      <c r="G9" s="47"/>
      <c r="H9" s="47"/>
      <c r="I9" s="47"/>
      <c r="J9" s="15"/>
      <c r="K9" s="50"/>
      <c r="L9" s="1"/>
      <c r="M9" s="21"/>
      <c r="N9" s="21"/>
      <c r="O9" s="21"/>
      <c r="P9" s="21"/>
      <c r="Q9" s="21"/>
      <c r="R9" s="18"/>
    </row>
    <row r="10" spans="2:18" x14ac:dyDescent="0.15">
      <c r="B10" s="22" t="s">
        <v>16</v>
      </c>
      <c r="C10" s="47" t="s">
        <v>31</v>
      </c>
      <c r="D10" s="47" t="s">
        <v>31</v>
      </c>
      <c r="E10" s="68" t="s">
        <v>31</v>
      </c>
      <c r="F10" s="114"/>
      <c r="G10" s="47"/>
      <c r="H10" s="47"/>
      <c r="I10" s="47"/>
      <c r="J10" s="15"/>
      <c r="K10" s="50"/>
      <c r="L10" s="1"/>
      <c r="M10" s="21"/>
      <c r="N10" s="21"/>
      <c r="O10" s="21"/>
      <c r="P10" s="21"/>
      <c r="Q10" s="21"/>
      <c r="R10" s="18"/>
    </row>
    <row r="11" spans="2:18" x14ac:dyDescent="0.15">
      <c r="B11" s="22" t="s">
        <v>17</v>
      </c>
      <c r="C11" s="47">
        <f>'Ground-mounted PV'!C11</f>
        <v>35</v>
      </c>
      <c r="D11" s="47">
        <f>'Ground-mounted PV'!D11</f>
        <v>40</v>
      </c>
      <c r="E11" s="68">
        <f>'Ground-mounted PV'!E11</f>
        <v>40</v>
      </c>
      <c r="F11" s="47">
        <v>25</v>
      </c>
      <c r="G11" s="47">
        <v>40</v>
      </c>
      <c r="H11" s="47">
        <v>35</v>
      </c>
      <c r="I11" s="47">
        <v>45</v>
      </c>
      <c r="J11" s="15"/>
      <c r="K11" s="50" t="s">
        <v>112</v>
      </c>
      <c r="L11" s="17"/>
      <c r="M11" s="18"/>
      <c r="N11" s="18"/>
      <c r="O11" s="18"/>
      <c r="P11" s="18"/>
      <c r="Q11" s="18"/>
      <c r="R11" s="18"/>
    </row>
    <row r="12" spans="2:18" x14ac:dyDescent="0.15">
      <c r="B12" s="22" t="s">
        <v>18</v>
      </c>
      <c r="C12" s="14">
        <v>0.1</v>
      </c>
      <c r="D12" s="14">
        <v>0.1</v>
      </c>
      <c r="E12" s="69">
        <v>0.1</v>
      </c>
      <c r="F12" s="14">
        <v>0.1</v>
      </c>
      <c r="G12" s="14">
        <v>0.5</v>
      </c>
      <c r="H12" s="14">
        <v>0.1</v>
      </c>
      <c r="I12" s="14">
        <v>0.5</v>
      </c>
      <c r="J12" s="15"/>
      <c r="K12" s="50">
        <v>1</v>
      </c>
      <c r="L12" s="17"/>
      <c r="M12" s="18"/>
      <c r="N12" s="18"/>
      <c r="O12" s="18"/>
      <c r="P12" s="18"/>
      <c r="Q12" s="18"/>
      <c r="R12" s="18"/>
    </row>
    <row r="13" spans="2:18" x14ac:dyDescent="0.15">
      <c r="B13" s="23" t="s">
        <v>194</v>
      </c>
      <c r="C13" s="47">
        <v>7</v>
      </c>
      <c r="D13" s="47">
        <v>6</v>
      </c>
      <c r="E13" s="68">
        <v>5</v>
      </c>
      <c r="F13" s="47">
        <v>13</v>
      </c>
      <c r="G13" s="47">
        <v>18</v>
      </c>
      <c r="H13" s="47">
        <v>13</v>
      </c>
      <c r="I13" s="68">
        <v>18</v>
      </c>
      <c r="J13" s="16"/>
      <c r="K13" s="15">
        <v>1</v>
      </c>
      <c r="L13" s="17"/>
      <c r="M13" s="18"/>
      <c r="N13" s="18"/>
      <c r="O13" s="18"/>
      <c r="P13" s="18"/>
      <c r="Q13" s="18"/>
      <c r="R13" s="18"/>
    </row>
    <row r="14" spans="2:18" x14ac:dyDescent="0.15">
      <c r="B14" s="42" t="s">
        <v>21</v>
      </c>
      <c r="C14" s="43"/>
      <c r="D14" s="43"/>
      <c r="E14" s="115"/>
      <c r="F14" s="43"/>
      <c r="G14" s="43"/>
      <c r="H14" s="43"/>
      <c r="I14" s="44"/>
      <c r="J14" s="44"/>
      <c r="K14" s="45"/>
      <c r="L14" s="17"/>
      <c r="M14" s="18"/>
      <c r="N14" s="18"/>
      <c r="O14" s="18"/>
      <c r="P14" s="18"/>
      <c r="Q14" s="18"/>
      <c r="R14" s="18"/>
    </row>
    <row r="15" spans="2:18" x14ac:dyDescent="0.15">
      <c r="B15" s="23" t="s">
        <v>22</v>
      </c>
      <c r="C15" s="73">
        <f>C43/8760*100</f>
        <v>17.69406392694064</v>
      </c>
      <c r="D15" s="73">
        <f t="shared" ref="D15:E15" si="0">D43/8760*100</f>
        <v>19.406392694063925</v>
      </c>
      <c r="E15" s="73">
        <f t="shared" si="0"/>
        <v>19.406392694063925</v>
      </c>
      <c r="F15" s="116">
        <f>'Ground-mounted PV'!F15</f>
        <v>17</v>
      </c>
      <c r="G15" s="116">
        <f>'Ground-mounted PV'!G15</f>
        <v>23</v>
      </c>
      <c r="H15" s="116">
        <f>'Ground-mounted PV'!H15</f>
        <v>17</v>
      </c>
      <c r="I15" s="116">
        <f>'Ground-mounted PV'!I15</f>
        <v>23</v>
      </c>
      <c r="J15" s="16"/>
      <c r="K15" s="46" t="s">
        <v>135</v>
      </c>
      <c r="L15" s="17"/>
      <c r="M15" s="18"/>
      <c r="N15" s="18"/>
      <c r="O15" s="18"/>
      <c r="P15" s="18"/>
      <c r="Q15" s="18"/>
      <c r="R15" s="18"/>
    </row>
    <row r="16" spans="2:18" x14ac:dyDescent="0.15">
      <c r="B16" s="23" t="s">
        <v>23</v>
      </c>
      <c r="C16" s="73">
        <f>C15</f>
        <v>17.69406392694064</v>
      </c>
      <c r="D16" s="73">
        <f t="shared" ref="D16:E16" si="1">D15</f>
        <v>19.406392694063925</v>
      </c>
      <c r="E16" s="73">
        <f t="shared" si="1"/>
        <v>19.406392694063925</v>
      </c>
      <c r="F16" s="116">
        <f>'Ground-mounted PV'!F16</f>
        <v>17</v>
      </c>
      <c r="G16" s="116">
        <f>'Ground-mounted PV'!G16</f>
        <v>23</v>
      </c>
      <c r="H16" s="116">
        <f>'Ground-mounted PV'!H16</f>
        <v>17</v>
      </c>
      <c r="I16" s="116">
        <f>'Ground-mounted PV'!I16</f>
        <v>23</v>
      </c>
      <c r="J16" s="16"/>
      <c r="K16" s="46" t="s">
        <v>135</v>
      </c>
      <c r="L16" s="17"/>
      <c r="M16" s="18"/>
      <c r="N16" s="18"/>
      <c r="O16" s="18"/>
      <c r="P16" s="18"/>
      <c r="Q16" s="18"/>
      <c r="R16" s="18"/>
    </row>
    <row r="17" spans="2:18" x14ac:dyDescent="0.15">
      <c r="B17" s="24" t="s">
        <v>24</v>
      </c>
      <c r="C17" s="25"/>
      <c r="D17" s="25"/>
      <c r="E17" s="117"/>
      <c r="F17" s="25"/>
      <c r="G17" s="25"/>
      <c r="H17" s="25"/>
      <c r="I17" s="26"/>
      <c r="J17" s="26"/>
      <c r="K17" s="27"/>
      <c r="L17" s="17"/>
      <c r="M17" s="18"/>
      <c r="N17" s="18"/>
      <c r="O17" s="18"/>
      <c r="P17" s="18"/>
      <c r="Q17" s="18"/>
      <c r="R17" s="18"/>
    </row>
    <row r="18" spans="2:18" x14ac:dyDescent="0.15">
      <c r="B18" s="22" t="s">
        <v>25</v>
      </c>
      <c r="C18" s="47" t="s">
        <v>31</v>
      </c>
      <c r="D18" s="47" t="s">
        <v>31</v>
      </c>
      <c r="E18" s="68" t="s">
        <v>31</v>
      </c>
      <c r="F18" s="114" t="s">
        <v>31</v>
      </c>
      <c r="G18" s="47" t="s">
        <v>31</v>
      </c>
      <c r="H18" s="47" t="s">
        <v>31</v>
      </c>
      <c r="I18" s="46" t="s">
        <v>31</v>
      </c>
      <c r="J18" s="16" t="s">
        <v>61</v>
      </c>
      <c r="K18" s="50"/>
      <c r="L18" s="17"/>
      <c r="M18" s="18"/>
      <c r="N18" s="18"/>
      <c r="O18" s="18"/>
      <c r="P18" s="18"/>
      <c r="Q18" s="18"/>
      <c r="R18" s="18"/>
    </row>
    <row r="19" spans="2:18" x14ac:dyDescent="0.15">
      <c r="B19" s="22" t="s">
        <v>26</v>
      </c>
      <c r="C19" s="47" t="s">
        <v>31</v>
      </c>
      <c r="D19" s="47" t="s">
        <v>31</v>
      </c>
      <c r="E19" s="68" t="s">
        <v>31</v>
      </c>
      <c r="F19" s="114" t="s">
        <v>31</v>
      </c>
      <c r="G19" s="47" t="s">
        <v>31</v>
      </c>
      <c r="H19" s="47" t="s">
        <v>31</v>
      </c>
      <c r="I19" s="46" t="s">
        <v>31</v>
      </c>
      <c r="J19" s="16" t="s">
        <v>61</v>
      </c>
      <c r="K19" s="50"/>
      <c r="L19" s="17"/>
      <c r="M19" s="18"/>
      <c r="N19" s="18"/>
      <c r="O19" s="18"/>
      <c r="P19" s="18"/>
      <c r="Q19" s="18"/>
      <c r="R19" s="18"/>
    </row>
    <row r="20" spans="2:18" x14ac:dyDescent="0.15">
      <c r="B20" s="22" t="s">
        <v>27</v>
      </c>
      <c r="C20" s="47" t="s">
        <v>31</v>
      </c>
      <c r="D20" s="47" t="s">
        <v>31</v>
      </c>
      <c r="E20" s="68" t="s">
        <v>31</v>
      </c>
      <c r="F20" s="114" t="s">
        <v>31</v>
      </c>
      <c r="G20" s="47" t="s">
        <v>31</v>
      </c>
      <c r="H20" s="47" t="s">
        <v>31</v>
      </c>
      <c r="I20" s="46" t="s">
        <v>31</v>
      </c>
      <c r="J20" s="16" t="s">
        <v>61</v>
      </c>
      <c r="K20" s="50"/>
      <c r="L20" s="17"/>
      <c r="M20" s="18"/>
      <c r="N20" s="18"/>
      <c r="O20" s="18"/>
      <c r="P20" s="18"/>
      <c r="Q20" s="18"/>
      <c r="R20" s="18"/>
    </row>
    <row r="21" spans="2:18" x14ac:dyDescent="0.15">
      <c r="B21" s="22" t="s">
        <v>28</v>
      </c>
      <c r="C21" s="47" t="s">
        <v>31</v>
      </c>
      <c r="D21" s="47" t="s">
        <v>31</v>
      </c>
      <c r="E21" s="68" t="s">
        <v>31</v>
      </c>
      <c r="F21" s="114" t="s">
        <v>31</v>
      </c>
      <c r="G21" s="47" t="s">
        <v>31</v>
      </c>
      <c r="H21" s="47" t="s">
        <v>31</v>
      </c>
      <c r="I21" s="46" t="s">
        <v>31</v>
      </c>
      <c r="J21" s="16" t="s">
        <v>61</v>
      </c>
      <c r="K21" s="50"/>
      <c r="L21" s="17"/>
      <c r="M21" s="18"/>
      <c r="N21" s="18"/>
      <c r="O21" s="18"/>
      <c r="P21" s="18"/>
      <c r="Q21" s="18"/>
      <c r="R21" s="18"/>
    </row>
    <row r="22" spans="2:18" x14ac:dyDescent="0.15">
      <c r="B22" s="24" t="s">
        <v>29</v>
      </c>
      <c r="C22" s="55"/>
      <c r="D22" s="28"/>
      <c r="E22" s="29"/>
      <c r="F22" s="28"/>
      <c r="G22" s="28"/>
      <c r="H22" s="28"/>
      <c r="I22" s="28"/>
      <c r="J22" s="28"/>
      <c r="K22" s="29"/>
      <c r="L22" s="261"/>
      <c r="M22" s="261"/>
      <c r="N22" s="261"/>
      <c r="O22" s="261"/>
      <c r="P22" s="261"/>
      <c r="Q22" s="261"/>
      <c r="R22" s="261"/>
    </row>
    <row r="23" spans="2:18" x14ac:dyDescent="0.15">
      <c r="B23" s="22" t="s">
        <v>30</v>
      </c>
      <c r="C23" s="31">
        <v>0</v>
      </c>
      <c r="D23" s="31">
        <v>0</v>
      </c>
      <c r="E23" s="31">
        <v>0</v>
      </c>
      <c r="F23" s="31"/>
      <c r="G23" s="31"/>
      <c r="H23" s="31"/>
      <c r="I23" s="31"/>
      <c r="J23" s="30"/>
      <c r="K23" s="50"/>
      <c r="L23" s="17"/>
      <c r="M23" s="18"/>
      <c r="N23" s="18"/>
      <c r="O23" s="18"/>
      <c r="P23" s="18"/>
      <c r="Q23" s="18"/>
      <c r="R23" s="18"/>
    </row>
    <row r="24" spans="2:18" x14ac:dyDescent="0.15">
      <c r="B24" s="22" t="s">
        <v>33</v>
      </c>
      <c r="C24" s="31">
        <v>0</v>
      </c>
      <c r="D24" s="31">
        <v>0</v>
      </c>
      <c r="E24" s="31">
        <v>0</v>
      </c>
      <c r="F24" s="31"/>
      <c r="G24" s="31"/>
      <c r="H24" s="31"/>
      <c r="I24" s="31"/>
      <c r="J24" s="30"/>
      <c r="K24" s="50"/>
      <c r="L24" s="17"/>
      <c r="M24" s="18"/>
      <c r="N24" s="18"/>
      <c r="O24" s="18"/>
      <c r="P24" s="18"/>
      <c r="Q24" s="18"/>
      <c r="R24" s="18"/>
    </row>
    <row r="25" spans="2:18" ht="15" customHeight="1" x14ac:dyDescent="0.15">
      <c r="B25" s="22" t="s">
        <v>34</v>
      </c>
      <c r="C25" s="31">
        <v>0</v>
      </c>
      <c r="D25" s="31">
        <v>0</v>
      </c>
      <c r="E25" s="31">
        <v>0</v>
      </c>
      <c r="F25" s="31"/>
      <c r="G25" s="31"/>
      <c r="H25" s="31"/>
      <c r="I25" s="31"/>
      <c r="J25" s="32"/>
      <c r="K25" s="50"/>
      <c r="L25" s="17"/>
      <c r="M25" s="18"/>
      <c r="N25" s="18"/>
      <c r="O25" s="18"/>
      <c r="P25" s="18"/>
      <c r="Q25" s="18"/>
      <c r="R25" s="18"/>
    </row>
    <row r="26" spans="2:18" x14ac:dyDescent="0.15">
      <c r="B26" s="22" t="s">
        <v>35</v>
      </c>
      <c r="C26" s="31">
        <v>0</v>
      </c>
      <c r="D26" s="31">
        <v>0</v>
      </c>
      <c r="E26" s="31">
        <v>0</v>
      </c>
      <c r="F26" s="31"/>
      <c r="G26" s="31"/>
      <c r="H26" s="31"/>
      <c r="I26" s="31"/>
      <c r="J26" s="16"/>
      <c r="K26" s="16"/>
      <c r="L26" s="17"/>
      <c r="M26" s="33"/>
      <c r="N26" s="33"/>
      <c r="O26" s="33"/>
      <c r="P26" s="33"/>
      <c r="Q26" s="18"/>
      <c r="R26" s="18"/>
    </row>
    <row r="27" spans="2:18" x14ac:dyDescent="0.15">
      <c r="B27" s="22" t="s">
        <v>36</v>
      </c>
      <c r="C27" s="31">
        <v>0</v>
      </c>
      <c r="D27" s="31">
        <v>0</v>
      </c>
      <c r="E27" s="31">
        <v>0</v>
      </c>
      <c r="F27" s="31"/>
      <c r="G27" s="31"/>
      <c r="H27" s="31"/>
      <c r="I27" s="31"/>
      <c r="J27" s="16"/>
      <c r="K27" s="16"/>
      <c r="L27" s="261"/>
      <c r="M27" s="261"/>
      <c r="N27" s="261"/>
      <c r="O27" s="261"/>
      <c r="P27" s="261"/>
      <c r="Q27" s="261"/>
      <c r="R27" s="261"/>
    </row>
    <row r="28" spans="2:18" x14ac:dyDescent="0.15">
      <c r="B28" s="24" t="s">
        <v>37</v>
      </c>
      <c r="C28" s="28"/>
      <c r="D28" s="28"/>
      <c r="E28" s="29"/>
      <c r="F28" s="28"/>
      <c r="G28" s="28"/>
      <c r="H28" s="28"/>
      <c r="I28" s="28"/>
      <c r="J28" s="28"/>
      <c r="K28" s="29"/>
      <c r="L28" s="17"/>
      <c r="M28" s="18"/>
      <c r="N28" s="18"/>
      <c r="O28" s="18"/>
      <c r="P28" s="18"/>
      <c r="Q28" s="18"/>
      <c r="R28" s="18"/>
    </row>
    <row r="29" spans="2:18" x14ac:dyDescent="0.15">
      <c r="B29" s="22" t="s">
        <v>136</v>
      </c>
      <c r="C29" s="76">
        <f>C49</f>
        <v>1.32</v>
      </c>
      <c r="D29" s="76">
        <f t="shared" ref="D29:E29" si="2">D49</f>
        <v>0.93720000000000003</v>
      </c>
      <c r="E29" s="118">
        <f t="shared" si="2"/>
        <v>0.68640000000000001</v>
      </c>
      <c r="F29" s="119">
        <f>MROUND('Ground-mounted PV'!F29*5/3,0.05)</f>
        <v>1.1500000000000001</v>
      </c>
      <c r="G29" s="49">
        <f>MROUND('Ground-mounted PV'!G29*5/3,0.05)</f>
        <v>2</v>
      </c>
      <c r="H29" s="49">
        <f>MROUND('Ground-mounted PV'!H29*5/3,0.05)</f>
        <v>0.5</v>
      </c>
      <c r="I29" s="120">
        <f>MROUND('Ground-mounted PV'!I29*5/3,0.05)</f>
        <v>1.2000000000000002</v>
      </c>
      <c r="J29" s="16" t="s">
        <v>137</v>
      </c>
      <c r="K29" s="50" t="s">
        <v>116</v>
      </c>
      <c r="L29" s="17"/>
      <c r="M29" s="35"/>
      <c r="N29" s="35"/>
      <c r="O29" s="35"/>
      <c r="P29" s="35"/>
      <c r="Q29" s="18"/>
      <c r="R29" s="18"/>
    </row>
    <row r="30" spans="2:18" x14ac:dyDescent="0.15">
      <c r="B30" s="22" t="s">
        <v>40</v>
      </c>
      <c r="C30" s="80">
        <f>C46/C48</f>
        <v>0.44444444444444448</v>
      </c>
      <c r="D30" s="80">
        <f t="shared" ref="D30:E30" si="3">D46/D48</f>
        <v>0.39123630672926452</v>
      </c>
      <c r="E30" s="80">
        <f t="shared" si="3"/>
        <v>0.34722222222222221</v>
      </c>
      <c r="F30" s="121"/>
      <c r="G30" s="122"/>
      <c r="H30" s="122"/>
      <c r="I30" s="122"/>
      <c r="J30" s="16"/>
      <c r="K30" s="16"/>
      <c r="L30" s="17"/>
      <c r="M30" s="35"/>
      <c r="N30" s="35"/>
      <c r="O30" s="35"/>
      <c r="P30" s="35"/>
      <c r="Q30" s="18"/>
      <c r="R30" s="18"/>
    </row>
    <row r="31" spans="2:18" x14ac:dyDescent="0.15">
      <c r="B31" s="22" t="s">
        <v>41</v>
      </c>
      <c r="C31" s="80">
        <f>100%-C30</f>
        <v>0.55555555555555558</v>
      </c>
      <c r="D31" s="80">
        <f t="shared" ref="D31:E31" si="4">100%-D30</f>
        <v>0.60876369327073543</v>
      </c>
      <c r="E31" s="80">
        <f t="shared" si="4"/>
        <v>0.65277777777777779</v>
      </c>
      <c r="F31" s="121"/>
      <c r="G31" s="122"/>
      <c r="H31" s="122"/>
      <c r="I31" s="122"/>
      <c r="J31" s="16"/>
      <c r="K31" s="16"/>
      <c r="L31" s="17"/>
      <c r="M31" s="35"/>
      <c r="N31" s="35"/>
      <c r="O31" s="35"/>
      <c r="P31" s="35"/>
      <c r="Q31" s="18"/>
      <c r="R31" s="18"/>
    </row>
    <row r="32" spans="2:18" x14ac:dyDescent="0.15">
      <c r="B32" s="22" t="s">
        <v>42</v>
      </c>
      <c r="C32" s="82">
        <f>'Ground-mounted PV'!C32</f>
        <v>14400</v>
      </c>
      <c r="D32" s="82">
        <f>'Ground-mounted PV'!D32</f>
        <v>10000</v>
      </c>
      <c r="E32" s="82">
        <f>'Ground-mounted PV'!E32</f>
        <v>8000</v>
      </c>
      <c r="F32" s="82">
        <f>'Ground-mounted PV'!F32</f>
        <v>10800</v>
      </c>
      <c r="G32" s="82">
        <f>'Ground-mounted PV'!G32</f>
        <v>18000</v>
      </c>
      <c r="H32" s="82">
        <f>'Ground-mounted PV'!H32</f>
        <v>5300</v>
      </c>
      <c r="I32" s="82">
        <f>'Ground-mounted PV'!I32</f>
        <v>10700</v>
      </c>
      <c r="J32" s="84" t="s">
        <v>138</v>
      </c>
      <c r="K32" s="50" t="s">
        <v>139</v>
      </c>
      <c r="L32" s="17"/>
      <c r="M32" s="35"/>
      <c r="N32" s="35"/>
      <c r="O32" s="35"/>
      <c r="P32" s="35"/>
      <c r="Q32" s="18"/>
      <c r="R32" s="18"/>
    </row>
    <row r="33" spans="1:18" x14ac:dyDescent="0.15">
      <c r="B33" s="22" t="s">
        <v>45</v>
      </c>
      <c r="C33" s="47">
        <v>0</v>
      </c>
      <c r="D33" s="47">
        <v>0</v>
      </c>
      <c r="E33" s="68">
        <v>0</v>
      </c>
      <c r="F33" s="114">
        <v>0</v>
      </c>
      <c r="G33" s="47">
        <v>0</v>
      </c>
      <c r="H33" s="47">
        <v>0</v>
      </c>
      <c r="I33" s="36">
        <v>0</v>
      </c>
      <c r="J33" s="16"/>
      <c r="K33" s="50"/>
      <c r="L33" s="17"/>
      <c r="M33" s="35"/>
      <c r="N33" s="35"/>
      <c r="O33" s="35"/>
      <c r="P33" s="35"/>
      <c r="Q33" s="18"/>
      <c r="R33" s="18"/>
    </row>
    <row r="34" spans="1:18" x14ac:dyDescent="0.15">
      <c r="B34" s="22" t="s">
        <v>46</v>
      </c>
      <c r="C34" s="47">
        <v>0</v>
      </c>
      <c r="D34" s="47">
        <v>0</v>
      </c>
      <c r="E34" s="68">
        <v>0</v>
      </c>
      <c r="F34" s="114">
        <v>0</v>
      </c>
      <c r="G34" s="47">
        <v>0</v>
      </c>
      <c r="H34" s="47">
        <v>0</v>
      </c>
      <c r="I34" s="36">
        <v>0</v>
      </c>
      <c r="J34" s="16"/>
      <c r="K34" s="50"/>
      <c r="L34" s="261"/>
      <c r="M34" s="261"/>
      <c r="N34" s="261"/>
      <c r="O34" s="261"/>
      <c r="P34" s="261"/>
      <c r="Q34" s="261"/>
      <c r="R34" s="261"/>
    </row>
    <row r="35" spans="1:18" x14ac:dyDescent="0.15">
      <c r="B35" s="86" t="s">
        <v>47</v>
      </c>
      <c r="C35" s="123"/>
      <c r="D35" s="123"/>
      <c r="E35" s="124"/>
      <c r="F35" s="123"/>
      <c r="G35" s="123"/>
      <c r="H35" s="123"/>
      <c r="I35" s="123"/>
      <c r="J35" s="123"/>
      <c r="K35" s="124"/>
      <c r="M35" s="18"/>
      <c r="N35" s="18"/>
      <c r="O35" s="18"/>
      <c r="P35" s="18"/>
      <c r="Q35" s="18"/>
      <c r="R35" s="18"/>
    </row>
    <row r="36" spans="1:18" ht="15" customHeight="1" x14ac:dyDescent="0.15">
      <c r="B36" s="89" t="s">
        <v>140</v>
      </c>
      <c r="C36" s="90">
        <v>1600</v>
      </c>
      <c r="D36" s="90">
        <v>1600</v>
      </c>
      <c r="E36" s="90">
        <v>1600</v>
      </c>
      <c r="F36" s="125"/>
      <c r="G36" s="91"/>
      <c r="H36" s="36"/>
      <c r="I36" s="36"/>
      <c r="J36" s="36" t="s">
        <v>77</v>
      </c>
      <c r="K36" s="54">
        <v>8</v>
      </c>
      <c r="M36" s="18"/>
      <c r="N36" s="18"/>
      <c r="O36" s="18"/>
      <c r="P36" s="18"/>
      <c r="Q36" s="18"/>
      <c r="R36" s="18"/>
    </row>
    <row r="37" spans="1:18" ht="15" customHeight="1" x14ac:dyDescent="0.15">
      <c r="B37" s="89" t="s">
        <v>141</v>
      </c>
      <c r="C37" s="110">
        <f>'Ground-mounted PV'!C37</f>
        <v>1.1000000000000001</v>
      </c>
      <c r="D37" s="110">
        <f>'Ground-mounted PV'!D37</f>
        <v>1.1000000000000001</v>
      </c>
      <c r="E37" s="110">
        <f>'Ground-mounted PV'!E37</f>
        <v>1.1000000000000001</v>
      </c>
      <c r="F37" s="125"/>
      <c r="G37" s="91"/>
      <c r="H37" s="36"/>
      <c r="I37" s="36"/>
      <c r="J37" s="36" t="s">
        <v>142</v>
      </c>
      <c r="K37" s="54"/>
      <c r="Q37" s="18"/>
      <c r="R37" s="18"/>
    </row>
    <row r="38" spans="1:18" ht="15" customHeight="1" x14ac:dyDescent="0.15">
      <c r="B38" s="89" t="s">
        <v>143</v>
      </c>
      <c r="C38" s="110">
        <f>'Ground-mounted PV'!C38</f>
        <v>1.01</v>
      </c>
      <c r="D38" s="110">
        <f>'Ground-mounted PV'!D38</f>
        <v>1.01</v>
      </c>
      <c r="E38" s="110">
        <f>'Ground-mounted PV'!E38</f>
        <v>1.01</v>
      </c>
      <c r="F38" s="125"/>
      <c r="G38" s="91"/>
      <c r="H38" s="36"/>
      <c r="I38" s="36"/>
      <c r="J38" s="36" t="s">
        <v>144</v>
      </c>
      <c r="K38" s="54">
        <v>8</v>
      </c>
      <c r="Q38" s="18"/>
      <c r="R38" s="18"/>
    </row>
    <row r="39" spans="1:18" ht="15" customHeight="1" x14ac:dyDescent="0.15">
      <c r="B39" s="89" t="s">
        <v>195</v>
      </c>
      <c r="C39" s="110">
        <f>'Ground-mounted PV'!C39</f>
        <v>0.86</v>
      </c>
      <c r="D39" s="110">
        <f>'Ground-mounted PV'!D39</f>
        <v>0.95</v>
      </c>
      <c r="E39" s="110">
        <f>'Ground-mounted PV'!E39</f>
        <v>0.97</v>
      </c>
      <c r="F39" s="125"/>
      <c r="G39" s="91"/>
      <c r="H39" s="36"/>
      <c r="I39" s="36"/>
      <c r="J39" s="36" t="s">
        <v>146</v>
      </c>
      <c r="K39" s="54">
        <v>5.6</v>
      </c>
      <c r="Q39" s="18"/>
      <c r="R39" s="18"/>
    </row>
    <row r="40" spans="1:18" ht="15" customHeight="1" x14ac:dyDescent="0.15">
      <c r="B40" s="89" t="s">
        <v>147</v>
      </c>
      <c r="C40" s="126">
        <f>'Ground-mounted PV'!C40</f>
        <v>0.20499999999999999</v>
      </c>
      <c r="D40" s="126">
        <f>'Ground-mounted PV'!D40</f>
        <v>0.23</v>
      </c>
      <c r="E40" s="126">
        <f>'Ground-mounted PV'!E40</f>
        <v>0.26</v>
      </c>
      <c r="F40" s="127"/>
      <c r="G40" s="95"/>
      <c r="H40" s="36"/>
      <c r="I40" s="36"/>
      <c r="J40" s="36"/>
      <c r="K40" s="54">
        <v>6</v>
      </c>
      <c r="Q40" s="18"/>
      <c r="R40" s="18"/>
    </row>
    <row r="41" spans="1:18" x14ac:dyDescent="0.15">
      <c r="A41" s="3"/>
      <c r="B41" s="96" t="s">
        <v>148</v>
      </c>
      <c r="C41" s="90">
        <f>'Ground-mounted PV'!C41</f>
        <v>15</v>
      </c>
      <c r="D41" s="90">
        <f>'Ground-mounted PV'!D41</f>
        <v>15</v>
      </c>
      <c r="E41" s="90">
        <f>'Ground-mounted PV'!E41</f>
        <v>15</v>
      </c>
      <c r="F41" s="128" t="s">
        <v>149</v>
      </c>
      <c r="G41" s="98"/>
      <c r="H41" s="129"/>
      <c r="I41" s="129"/>
      <c r="J41" s="16"/>
      <c r="K41" s="16">
        <v>6</v>
      </c>
    </row>
    <row r="42" spans="1:18" x14ac:dyDescent="0.15">
      <c r="A42" s="3"/>
      <c r="B42" s="100" t="s">
        <v>150</v>
      </c>
      <c r="C42" s="130"/>
      <c r="D42" s="130"/>
      <c r="E42" s="130"/>
      <c r="F42" s="130"/>
      <c r="G42" s="130"/>
      <c r="H42" s="131"/>
      <c r="I42" s="131"/>
      <c r="J42" s="123"/>
      <c r="K42" s="124"/>
    </row>
    <row r="43" spans="1:18" x14ac:dyDescent="0.15">
      <c r="A43" s="3"/>
      <c r="B43" s="103" t="s">
        <v>151</v>
      </c>
      <c r="C43" s="104">
        <f>MROUND(C44*C37,50)</f>
        <v>1550</v>
      </c>
      <c r="D43" s="104">
        <f>MROUND(D44*D37,50)</f>
        <v>1700</v>
      </c>
      <c r="E43" s="104">
        <f>MROUND(E44*E37,50)</f>
        <v>1700</v>
      </c>
      <c r="F43" s="105"/>
      <c r="G43" s="105" t="s">
        <v>149</v>
      </c>
      <c r="H43" s="132"/>
      <c r="I43" s="132"/>
      <c r="J43" s="36" t="s">
        <v>152</v>
      </c>
      <c r="K43" s="54"/>
    </row>
    <row r="44" spans="1:18" x14ac:dyDescent="0.15">
      <c r="A44" s="3"/>
      <c r="B44" s="89" t="s">
        <v>153</v>
      </c>
      <c r="C44" s="90">
        <f>MROUND(C36*C38*C39,50)</f>
        <v>1400</v>
      </c>
      <c r="D44" s="90">
        <f>MROUND(D36*D38*D39,50)</f>
        <v>1550</v>
      </c>
      <c r="E44" s="90">
        <f>MROUND(E36*E38*E39,50)</f>
        <v>1550</v>
      </c>
      <c r="F44" s="91"/>
      <c r="G44" s="91" t="s">
        <v>149</v>
      </c>
      <c r="H44" s="36"/>
      <c r="I44" s="36"/>
      <c r="J44" s="16" t="s">
        <v>154</v>
      </c>
      <c r="K44" s="16"/>
      <c r="M44" s="107"/>
    </row>
    <row r="45" spans="1:18" x14ac:dyDescent="0.15">
      <c r="A45" s="3"/>
      <c r="B45" s="100" t="s">
        <v>155</v>
      </c>
      <c r="C45" s="130"/>
      <c r="D45" s="130"/>
      <c r="E45" s="130"/>
      <c r="F45" s="130"/>
      <c r="G45" s="130"/>
      <c r="H45" s="131"/>
      <c r="I45" s="131"/>
      <c r="J45" s="123"/>
      <c r="K45" s="124"/>
      <c r="M45" s="107"/>
      <c r="N45" s="107"/>
      <c r="O45" s="107"/>
    </row>
    <row r="46" spans="1:18" x14ac:dyDescent="0.15">
      <c r="A46" s="3"/>
      <c r="B46" s="108" t="s">
        <v>156</v>
      </c>
      <c r="C46" s="93">
        <f>C48-C47</f>
        <v>0.53333333333333333</v>
      </c>
      <c r="D46" s="93">
        <f t="shared" ref="D46:E46" si="5">D48-D47</f>
        <v>0.33333333333333337</v>
      </c>
      <c r="E46" s="93">
        <f t="shared" si="5"/>
        <v>0.21666666666666667</v>
      </c>
      <c r="F46" s="91"/>
      <c r="G46" s="91"/>
      <c r="H46" s="36"/>
      <c r="I46" s="36"/>
      <c r="J46" s="36"/>
      <c r="K46" s="54">
        <v>6.9</v>
      </c>
      <c r="M46" s="109"/>
      <c r="N46" s="109"/>
      <c r="O46" s="109"/>
    </row>
    <row r="47" spans="1:18" x14ac:dyDescent="0.15">
      <c r="A47" s="3"/>
      <c r="B47" s="108" t="s">
        <v>157</v>
      </c>
      <c r="C47" s="110">
        <f>'Ground-mounted PV'!C47*5/3</f>
        <v>0.66666666666666663</v>
      </c>
      <c r="D47" s="110">
        <f>'Ground-mounted PV'!D47*5/3</f>
        <v>0.51866666666666661</v>
      </c>
      <c r="E47" s="110">
        <f>'Ground-mounted PV'!E47*5/3</f>
        <v>0.40733333333333333</v>
      </c>
      <c r="F47" s="91"/>
      <c r="G47" s="91"/>
      <c r="H47" s="36"/>
      <c r="I47" s="36"/>
      <c r="J47" s="36"/>
      <c r="K47" s="54">
        <v>6.9</v>
      </c>
      <c r="M47" s="109"/>
      <c r="N47" s="109"/>
      <c r="O47" s="109"/>
    </row>
    <row r="48" spans="1:18" x14ac:dyDescent="0.15">
      <c r="A48" s="3"/>
      <c r="B48" s="108" t="s">
        <v>158</v>
      </c>
      <c r="C48" s="110">
        <f>'Ground-mounted PV'!C48*5/3</f>
        <v>1.2</v>
      </c>
      <c r="D48" s="110">
        <f>'Ground-mounted PV'!D48*5/3</f>
        <v>0.85199999999999998</v>
      </c>
      <c r="E48" s="110">
        <f>'Ground-mounted PV'!E48*5/3</f>
        <v>0.624</v>
      </c>
      <c r="F48" s="91"/>
      <c r="G48" s="91"/>
      <c r="H48" s="36"/>
      <c r="I48" s="36"/>
      <c r="J48" s="36" t="s">
        <v>159</v>
      </c>
      <c r="K48" s="91" t="s">
        <v>160</v>
      </c>
      <c r="M48" s="109"/>
      <c r="N48" s="109"/>
      <c r="O48" s="109"/>
    </row>
    <row r="49" spans="1:16" x14ac:dyDescent="0.15">
      <c r="A49" s="3"/>
      <c r="B49" s="89" t="s">
        <v>196</v>
      </c>
      <c r="C49" s="110">
        <f>C48*1.1</f>
        <v>1.32</v>
      </c>
      <c r="D49" s="110">
        <f t="shared" ref="D49:E49" si="6">D48*1.1</f>
        <v>0.93720000000000003</v>
      </c>
      <c r="E49" s="110">
        <f t="shared" si="6"/>
        <v>0.68640000000000001</v>
      </c>
      <c r="F49" s="91"/>
      <c r="G49" s="91"/>
      <c r="H49" s="36"/>
      <c r="I49" s="36"/>
      <c r="J49" s="36" t="s">
        <v>162</v>
      </c>
      <c r="K49" s="91"/>
    </row>
    <row r="50" spans="1:16" x14ac:dyDescent="0.15">
      <c r="A50" s="3"/>
      <c r="B50" s="4"/>
      <c r="C50" s="4"/>
      <c r="D50" s="4"/>
      <c r="E50" s="4"/>
      <c r="F50" s="4"/>
      <c r="G50" s="4"/>
      <c r="H50" s="4"/>
      <c r="I50" s="112"/>
      <c r="J50" s="112"/>
      <c r="K50" s="113"/>
    </row>
    <row r="51" spans="1:16" s="1" customFormat="1" x14ac:dyDescent="0.15">
      <c r="A51" s="3" t="s">
        <v>50</v>
      </c>
      <c r="C51" s="40"/>
      <c r="D51" s="40"/>
      <c r="E51" s="40"/>
      <c r="F51" s="40"/>
      <c r="G51" s="40"/>
      <c r="M51" s="4"/>
      <c r="N51" s="4"/>
      <c r="O51" s="4"/>
      <c r="P51" s="4"/>
    </row>
    <row r="52" spans="1:16" x14ac:dyDescent="0.15">
      <c r="A52" s="53">
        <v>1</v>
      </c>
      <c r="B52" s="53" t="s">
        <v>51</v>
      </c>
    </row>
    <row r="53" spans="1:16" x14ac:dyDescent="0.15">
      <c r="A53" s="53">
        <v>2</v>
      </c>
      <c r="B53" s="53" t="s">
        <v>163</v>
      </c>
    </row>
    <row r="54" spans="1:16" x14ac:dyDescent="0.15">
      <c r="A54" s="53">
        <v>3</v>
      </c>
      <c r="B54" s="53" t="s">
        <v>164</v>
      </c>
    </row>
    <row r="55" spans="1:16" x14ac:dyDescent="0.15">
      <c r="A55" s="53">
        <v>4</v>
      </c>
      <c r="B55" s="53" t="s">
        <v>54</v>
      </c>
    </row>
    <row r="56" spans="1:16" x14ac:dyDescent="0.15">
      <c r="A56" s="53">
        <v>5</v>
      </c>
      <c r="B56" s="53" t="s">
        <v>165</v>
      </c>
    </row>
    <row r="57" spans="1:16" x14ac:dyDescent="0.15">
      <c r="A57" s="53">
        <v>6</v>
      </c>
      <c r="B57" s="53" t="s">
        <v>166</v>
      </c>
    </row>
    <row r="58" spans="1:16" x14ac:dyDescent="0.15">
      <c r="A58" s="53">
        <v>7</v>
      </c>
      <c r="B58" s="53" t="s">
        <v>167</v>
      </c>
    </row>
    <row r="59" spans="1:16" x14ac:dyDescent="0.15">
      <c r="A59" s="53">
        <v>8</v>
      </c>
      <c r="B59" s="53" t="s">
        <v>168</v>
      </c>
    </row>
    <row r="60" spans="1:16" x14ac:dyDescent="0.15">
      <c r="A60" s="53">
        <v>9</v>
      </c>
      <c r="B60" s="53" t="s">
        <v>169</v>
      </c>
    </row>
    <row r="61" spans="1:16" x14ac:dyDescent="0.15">
      <c r="A61" s="3" t="s">
        <v>59</v>
      </c>
    </row>
    <row r="62" spans="1:16" x14ac:dyDescent="0.15">
      <c r="A62" s="52" t="s">
        <v>13</v>
      </c>
      <c r="B62" s="75" t="s">
        <v>170</v>
      </c>
      <c r="C62" s="65"/>
      <c r="D62" s="65"/>
      <c r="E62" s="65"/>
      <c r="F62" s="65"/>
      <c r="G62" s="65"/>
      <c r="H62" s="65"/>
      <c r="I62" s="65"/>
      <c r="J62" s="65"/>
      <c r="K62" s="65"/>
    </row>
    <row r="63" spans="1:16" ht="13.5" customHeight="1" x14ac:dyDescent="0.15">
      <c r="A63" s="52" t="s">
        <v>61</v>
      </c>
      <c r="B63" s="75" t="s">
        <v>171</v>
      </c>
      <c r="C63" s="65"/>
      <c r="D63" s="65"/>
      <c r="E63" s="65"/>
      <c r="F63" s="65"/>
      <c r="G63" s="65"/>
      <c r="H63" s="65"/>
      <c r="I63" s="65"/>
      <c r="J63" s="65"/>
      <c r="K63" s="65"/>
    </row>
    <row r="64" spans="1:16" ht="15" customHeight="1" x14ac:dyDescent="0.15">
      <c r="A64" s="52" t="s">
        <v>32</v>
      </c>
      <c r="B64" s="75" t="s">
        <v>172</v>
      </c>
      <c r="C64" s="65"/>
      <c r="D64" s="65"/>
      <c r="E64" s="65"/>
      <c r="F64" s="65"/>
      <c r="G64" s="65"/>
      <c r="H64" s="65"/>
      <c r="I64" s="65"/>
      <c r="J64" s="65"/>
      <c r="K64" s="65"/>
    </row>
    <row r="65" spans="1:11" x14ac:dyDescent="0.15">
      <c r="A65" s="52" t="s">
        <v>64</v>
      </c>
      <c r="B65" s="75" t="s">
        <v>173</v>
      </c>
      <c r="C65" s="65"/>
      <c r="D65" s="65"/>
      <c r="E65" s="65"/>
      <c r="F65" s="65"/>
      <c r="G65" s="65"/>
      <c r="H65" s="65"/>
      <c r="I65" s="65"/>
      <c r="J65" s="65"/>
      <c r="K65" s="65"/>
    </row>
    <row r="66" spans="1:11" x14ac:dyDescent="0.15">
      <c r="A66" s="52" t="s">
        <v>66</v>
      </c>
      <c r="B66" s="75" t="s">
        <v>75</v>
      </c>
      <c r="C66" s="65"/>
      <c r="D66" s="65"/>
      <c r="E66" s="65"/>
      <c r="F66" s="65"/>
      <c r="G66" s="65"/>
      <c r="H66" s="65"/>
      <c r="I66" s="65"/>
      <c r="J66" s="65"/>
      <c r="K66" s="65"/>
    </row>
    <row r="67" spans="1:11" ht="26.25" customHeight="1" x14ac:dyDescent="0.15">
      <c r="A67" s="52" t="s">
        <v>77</v>
      </c>
      <c r="B67" s="255" t="s">
        <v>174</v>
      </c>
      <c r="C67" s="255"/>
      <c r="D67" s="255"/>
      <c r="E67" s="255"/>
      <c r="F67" s="255"/>
      <c r="G67" s="255"/>
      <c r="H67" s="255"/>
      <c r="I67" s="255"/>
      <c r="J67" s="255"/>
      <c r="K67" s="255"/>
    </row>
    <row r="68" spans="1:11" ht="25.5" customHeight="1" x14ac:dyDescent="0.15">
      <c r="A68" s="52" t="s">
        <v>142</v>
      </c>
      <c r="B68" s="255" t="s">
        <v>175</v>
      </c>
      <c r="C68" s="255"/>
      <c r="D68" s="255"/>
      <c r="E68" s="255"/>
      <c r="F68" s="255"/>
      <c r="G68" s="255"/>
      <c r="H68" s="255"/>
      <c r="I68" s="255"/>
      <c r="J68" s="255"/>
      <c r="K68" s="255"/>
    </row>
    <row r="69" spans="1:11" ht="39" customHeight="1" x14ac:dyDescent="0.15">
      <c r="A69" s="52" t="s">
        <v>144</v>
      </c>
      <c r="B69" s="255" t="s">
        <v>176</v>
      </c>
      <c r="C69" s="255"/>
      <c r="D69" s="255"/>
      <c r="E69" s="255"/>
      <c r="F69" s="255"/>
      <c r="G69" s="255"/>
      <c r="H69" s="255"/>
      <c r="I69" s="255"/>
      <c r="J69" s="255"/>
      <c r="K69" s="255"/>
    </row>
    <row r="70" spans="1:11" ht="90.75" customHeight="1" x14ac:dyDescent="0.15">
      <c r="A70" s="52" t="s">
        <v>146</v>
      </c>
      <c r="B70" s="255" t="s">
        <v>177</v>
      </c>
      <c r="C70" s="255"/>
      <c r="D70" s="255"/>
      <c r="E70" s="255"/>
      <c r="F70" s="255"/>
      <c r="G70" s="255"/>
      <c r="H70" s="255"/>
      <c r="I70" s="255"/>
      <c r="J70" s="255"/>
      <c r="K70" s="255"/>
    </row>
    <row r="71" spans="1:11" ht="25.5" customHeight="1" x14ac:dyDescent="0.15">
      <c r="A71" s="52" t="s">
        <v>178</v>
      </c>
      <c r="B71" s="255" t="s">
        <v>179</v>
      </c>
      <c r="C71" s="255"/>
      <c r="D71" s="255"/>
      <c r="E71" s="255"/>
      <c r="F71" s="255"/>
      <c r="G71" s="255"/>
      <c r="H71" s="255"/>
      <c r="I71" s="255"/>
      <c r="J71" s="255"/>
      <c r="K71" s="255"/>
    </row>
    <row r="72" spans="1:11" ht="24.75" customHeight="1" x14ac:dyDescent="0.15">
      <c r="A72" s="52" t="s">
        <v>180</v>
      </c>
      <c r="B72" s="255" t="s">
        <v>181</v>
      </c>
      <c r="C72" s="255"/>
      <c r="D72" s="255"/>
      <c r="E72" s="255"/>
      <c r="F72" s="255"/>
      <c r="G72" s="255"/>
      <c r="H72" s="255"/>
      <c r="I72" s="255"/>
      <c r="J72" s="255"/>
      <c r="K72" s="255"/>
    </row>
    <row r="73" spans="1:11" ht="16.5" customHeight="1" x14ac:dyDescent="0.15">
      <c r="A73" s="52" t="s">
        <v>182</v>
      </c>
      <c r="B73" s="75" t="s">
        <v>183</v>
      </c>
      <c r="C73" s="65"/>
      <c r="D73" s="65"/>
      <c r="E73" s="65"/>
      <c r="F73" s="65"/>
      <c r="G73" s="65"/>
      <c r="H73" s="65"/>
      <c r="I73" s="65"/>
      <c r="J73" s="65"/>
      <c r="K73" s="65"/>
    </row>
    <row r="74" spans="1:11" ht="63" customHeight="1" x14ac:dyDescent="0.15">
      <c r="A74" s="52" t="s">
        <v>159</v>
      </c>
      <c r="B74" s="255" t="s">
        <v>184</v>
      </c>
      <c r="C74" s="255"/>
      <c r="D74" s="255"/>
      <c r="E74" s="255"/>
      <c r="F74" s="255"/>
      <c r="G74" s="255"/>
      <c r="H74" s="255"/>
      <c r="I74" s="255"/>
      <c r="J74" s="255"/>
      <c r="K74" s="255"/>
    </row>
    <row r="75" spans="1:11" ht="14.25" customHeight="1" x14ac:dyDescent="0.15">
      <c r="A75" s="52" t="s">
        <v>185</v>
      </c>
      <c r="B75" s="75" t="s">
        <v>186</v>
      </c>
      <c r="C75" s="65"/>
      <c r="D75" s="65"/>
      <c r="E75" s="65"/>
      <c r="F75" s="65"/>
      <c r="G75" s="65"/>
      <c r="H75" s="65"/>
      <c r="I75" s="65"/>
      <c r="J75" s="65"/>
      <c r="K75" s="65"/>
    </row>
    <row r="76" spans="1:11" ht="15.75" customHeight="1" x14ac:dyDescent="0.15">
      <c r="A76" s="52" t="s">
        <v>187</v>
      </c>
      <c r="B76" s="75" t="s">
        <v>188</v>
      </c>
      <c r="C76" s="65"/>
      <c r="D76" s="65"/>
      <c r="E76" s="65"/>
      <c r="F76" s="65"/>
      <c r="G76" s="65"/>
      <c r="H76" s="65"/>
      <c r="I76" s="65"/>
      <c r="J76" s="65"/>
      <c r="K76" s="65"/>
    </row>
    <row r="77" spans="1:11" x14ac:dyDescent="0.15">
      <c r="A77" s="52" t="s">
        <v>189</v>
      </c>
      <c r="B77" s="53" t="s">
        <v>76</v>
      </c>
    </row>
    <row r="78" spans="1:11" ht="48" customHeight="1" x14ac:dyDescent="0.15">
      <c r="A78" s="59" t="s">
        <v>190</v>
      </c>
      <c r="B78" s="262" t="s">
        <v>191</v>
      </c>
      <c r="C78" s="262"/>
      <c r="D78" s="262"/>
      <c r="E78" s="262"/>
      <c r="F78" s="262"/>
      <c r="G78" s="262"/>
      <c r="H78" s="262"/>
      <c r="I78" s="262"/>
      <c r="J78" s="262"/>
      <c r="K78" s="262"/>
    </row>
  </sheetData>
  <mergeCells count="16">
    <mergeCell ref="L22:R22"/>
    <mergeCell ref="C3:K3"/>
    <mergeCell ref="M3:R3"/>
    <mergeCell ref="F4:G4"/>
    <mergeCell ref="H4:I4"/>
    <mergeCell ref="L5:R5"/>
    <mergeCell ref="B71:K71"/>
    <mergeCell ref="B72:K72"/>
    <mergeCell ref="B74:K74"/>
    <mergeCell ref="B78:K78"/>
    <mergeCell ref="L27:R27"/>
    <mergeCell ref="L34:R34"/>
    <mergeCell ref="B67:K67"/>
    <mergeCell ref="B68:K68"/>
    <mergeCell ref="B69:K69"/>
    <mergeCell ref="B70:K70"/>
  </mergeCells>
  <pageMargins left="0.70866141732283472" right="0.70866141732283472" top="0.74803149606299213" bottom="0.74803149606299213" header="0.31496062992125984" footer="0.31496062992125984"/>
  <pageSetup paperSize="9"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E3E73-2E3E-4AEF-8DF4-515A4F36DAAE}">
  <sheetPr>
    <tabColor rgb="FFFFC000"/>
  </sheetPr>
  <dimension ref="A1:R78"/>
  <sheetViews>
    <sheetView topLeftCell="A7" zoomScale="70" zoomScaleNormal="70" zoomScaleSheetLayoutView="120" workbookViewId="0">
      <selection activeCell="O48" sqref="O48"/>
    </sheetView>
  </sheetViews>
  <sheetFormatPr baseColWidth="10" defaultColWidth="9.1640625" defaultRowHeight="14" x14ac:dyDescent="0.15"/>
  <cols>
    <col min="1" max="1" width="3" style="1" customWidth="1"/>
    <col min="2" max="2" width="35.1640625" style="1" customWidth="1"/>
    <col min="3" max="5" width="9" style="1" customWidth="1"/>
    <col min="6" max="9" width="9.5" style="1" customWidth="1"/>
    <col min="10" max="11" width="6.5" style="1" customWidth="1"/>
    <col min="12" max="12" width="30.1640625" style="4" customWidth="1"/>
    <col min="13" max="13" width="10.33203125" style="4" customWidth="1"/>
    <col min="14" max="14" width="9.6640625" style="4" customWidth="1"/>
    <col min="15" max="15" width="10" style="4" customWidth="1"/>
    <col min="16" max="16" width="7.83203125" style="4" customWidth="1"/>
    <col min="17" max="17" width="7.1640625" style="4" customWidth="1"/>
    <col min="18" max="18" width="7.6640625" style="4" customWidth="1"/>
    <col min="19" max="16384" width="9.1640625" style="4"/>
  </cols>
  <sheetData>
    <row r="1" spans="2:18" ht="20" x14ac:dyDescent="0.2">
      <c r="B1" s="2" t="s">
        <v>0</v>
      </c>
    </row>
    <row r="3" spans="2:18" ht="15" customHeight="1" x14ac:dyDescent="0.15">
      <c r="B3" s="5" t="s">
        <v>1</v>
      </c>
      <c r="C3" s="256" t="s">
        <v>197</v>
      </c>
      <c r="D3" s="256"/>
      <c r="E3" s="256"/>
      <c r="F3" s="256"/>
      <c r="G3" s="256"/>
      <c r="H3" s="256"/>
      <c r="I3" s="256"/>
      <c r="J3" s="256"/>
      <c r="K3" s="257"/>
      <c r="L3" s="63"/>
      <c r="M3" s="258"/>
      <c r="N3" s="259"/>
      <c r="O3" s="259"/>
      <c r="P3" s="259"/>
      <c r="Q3" s="259"/>
      <c r="R3" s="259"/>
    </row>
    <row r="4" spans="2:18" ht="16.5" customHeight="1" x14ac:dyDescent="0.15">
      <c r="B4" s="6"/>
      <c r="C4" s="7">
        <v>2020</v>
      </c>
      <c r="D4" s="7">
        <v>2030</v>
      </c>
      <c r="E4" s="7">
        <v>2050</v>
      </c>
      <c r="F4" s="260" t="s">
        <v>3</v>
      </c>
      <c r="G4" s="257"/>
      <c r="H4" s="260" t="s">
        <v>4</v>
      </c>
      <c r="I4" s="257"/>
      <c r="J4" s="7" t="s">
        <v>5</v>
      </c>
      <c r="K4" s="7" t="s">
        <v>6</v>
      </c>
      <c r="L4" s="8"/>
      <c r="M4" s="9"/>
      <c r="N4" s="9"/>
      <c r="O4" s="9"/>
      <c r="P4" s="9"/>
      <c r="Q4" s="9"/>
      <c r="R4" s="9"/>
    </row>
    <row r="5" spans="2:18" ht="15" customHeight="1" x14ac:dyDescent="0.15">
      <c r="B5" s="10" t="s">
        <v>7</v>
      </c>
      <c r="C5" s="11"/>
      <c r="D5" s="11"/>
      <c r="E5" s="11"/>
      <c r="F5" s="62" t="s">
        <v>8</v>
      </c>
      <c r="G5" s="62" t="s">
        <v>9</v>
      </c>
      <c r="H5" s="62" t="s">
        <v>8</v>
      </c>
      <c r="I5" s="62" t="s">
        <v>9</v>
      </c>
      <c r="J5" s="11"/>
      <c r="K5" s="12"/>
      <c r="L5" s="261"/>
      <c r="M5" s="261"/>
      <c r="N5" s="261"/>
      <c r="O5" s="261"/>
      <c r="P5" s="261"/>
      <c r="Q5" s="261"/>
      <c r="R5" s="261"/>
    </row>
    <row r="6" spans="2:18" ht="26.25" customHeight="1" x14ac:dyDescent="0.15">
      <c r="B6" s="13" t="s">
        <v>198</v>
      </c>
      <c r="C6" s="47">
        <v>100</v>
      </c>
      <c r="D6" s="47">
        <v>100</v>
      </c>
      <c r="E6" s="47">
        <v>100</v>
      </c>
      <c r="F6" s="47"/>
      <c r="G6" s="47"/>
      <c r="H6" s="47"/>
      <c r="I6" s="47"/>
      <c r="J6" s="15" t="s">
        <v>32</v>
      </c>
      <c r="K6" s="50">
        <v>6</v>
      </c>
      <c r="L6" s="17"/>
      <c r="M6" s="60"/>
      <c r="N6" s="61"/>
      <c r="O6" s="61"/>
      <c r="P6" s="61"/>
      <c r="Q6" s="61"/>
      <c r="R6" s="61"/>
    </row>
    <row r="7" spans="2:18" x14ac:dyDescent="0.15">
      <c r="B7" s="13" t="s">
        <v>12</v>
      </c>
      <c r="C7" s="47" t="s">
        <v>31</v>
      </c>
      <c r="D7" s="47" t="s">
        <v>31</v>
      </c>
      <c r="E7" s="47" t="s">
        <v>31</v>
      </c>
      <c r="F7" s="47"/>
      <c r="G7" s="47"/>
      <c r="H7" s="47"/>
      <c r="I7" s="47"/>
      <c r="J7" s="15" t="s">
        <v>13</v>
      </c>
      <c r="K7" s="46"/>
      <c r="L7" s="17"/>
      <c r="M7" s="18"/>
      <c r="N7" s="18"/>
      <c r="O7" s="18"/>
      <c r="P7" s="18"/>
      <c r="Q7" s="18"/>
      <c r="R7" s="18"/>
    </row>
    <row r="8" spans="2:18" x14ac:dyDescent="0.15">
      <c r="B8" s="19" t="s">
        <v>14</v>
      </c>
      <c r="C8" s="47" t="s">
        <v>31</v>
      </c>
      <c r="D8" s="47" t="s">
        <v>31</v>
      </c>
      <c r="E8" s="47" t="s">
        <v>31</v>
      </c>
      <c r="F8" s="47"/>
      <c r="G8" s="47"/>
      <c r="H8" s="47"/>
      <c r="I8" s="47"/>
      <c r="J8" s="20" t="s">
        <v>13</v>
      </c>
      <c r="K8" s="66"/>
      <c r="L8" s="17"/>
      <c r="M8" s="18"/>
      <c r="N8" s="18"/>
      <c r="O8" s="18"/>
      <c r="P8" s="18"/>
      <c r="Q8" s="18"/>
      <c r="R8" s="18"/>
    </row>
    <row r="9" spans="2:18" x14ac:dyDescent="0.15">
      <c r="B9" s="13" t="s">
        <v>15</v>
      </c>
      <c r="C9" s="47" t="s">
        <v>31</v>
      </c>
      <c r="D9" s="47" t="s">
        <v>31</v>
      </c>
      <c r="E9" s="47" t="s">
        <v>31</v>
      </c>
      <c r="F9" s="47"/>
      <c r="G9" s="47"/>
      <c r="H9" s="47"/>
      <c r="I9" s="47"/>
      <c r="J9" s="15"/>
      <c r="K9" s="50"/>
      <c r="L9" s="1"/>
      <c r="M9" s="21"/>
      <c r="N9" s="21"/>
      <c r="O9" s="21"/>
      <c r="P9" s="21"/>
      <c r="Q9" s="21"/>
      <c r="R9" s="18"/>
    </row>
    <row r="10" spans="2:18" x14ac:dyDescent="0.15">
      <c r="B10" s="22" t="s">
        <v>16</v>
      </c>
      <c r="C10" s="47" t="s">
        <v>31</v>
      </c>
      <c r="D10" s="47" t="s">
        <v>31</v>
      </c>
      <c r="E10" s="47" t="s">
        <v>31</v>
      </c>
      <c r="F10" s="47"/>
      <c r="G10" s="47"/>
      <c r="H10" s="47"/>
      <c r="I10" s="47"/>
      <c r="J10" s="15"/>
      <c r="K10" s="50"/>
      <c r="L10" s="1"/>
      <c r="M10" s="21"/>
      <c r="N10" s="21"/>
      <c r="O10" s="21"/>
      <c r="P10" s="21"/>
      <c r="Q10" s="21"/>
      <c r="R10" s="18"/>
    </row>
    <row r="11" spans="2:18" x14ac:dyDescent="0.15">
      <c r="B11" s="22" t="s">
        <v>17</v>
      </c>
      <c r="C11" s="47" t="e">
        <f>AVERAGE(#REF!)</f>
        <v>#REF!</v>
      </c>
      <c r="D11" s="47" t="e">
        <f>AVERAGE(#REF!)</f>
        <v>#REF!</v>
      </c>
      <c r="E11" s="47" t="e">
        <f>AVERAGE(#REF!)</f>
        <v>#REF!</v>
      </c>
      <c r="F11" s="47">
        <v>25</v>
      </c>
      <c r="G11" s="47">
        <v>40</v>
      </c>
      <c r="H11" s="47">
        <v>35</v>
      </c>
      <c r="I11" s="47">
        <v>45</v>
      </c>
      <c r="J11" s="15"/>
      <c r="K11" s="50" t="s">
        <v>112</v>
      </c>
      <c r="L11" s="17"/>
      <c r="M11" s="18"/>
      <c r="N11" s="18"/>
      <c r="O11" s="18"/>
      <c r="P11" s="18"/>
      <c r="Q11" s="18"/>
      <c r="R11" s="18"/>
    </row>
    <row r="12" spans="2:18" x14ac:dyDescent="0.15">
      <c r="B12" s="22" t="s">
        <v>18</v>
      </c>
      <c r="C12" s="14" t="e">
        <f>AVERAGE(#REF!)</f>
        <v>#REF!</v>
      </c>
      <c r="D12" s="14">
        <v>0.5</v>
      </c>
      <c r="E12" s="14">
        <v>0.5</v>
      </c>
      <c r="F12" s="15">
        <v>0.5</v>
      </c>
      <c r="G12" s="15">
        <v>1.5</v>
      </c>
      <c r="H12" s="15">
        <v>0.25</v>
      </c>
      <c r="I12" s="47">
        <v>1</v>
      </c>
      <c r="J12" s="15"/>
      <c r="K12" s="50">
        <v>1</v>
      </c>
      <c r="L12" s="17"/>
      <c r="M12" s="18"/>
      <c r="N12" s="18"/>
      <c r="O12" s="18"/>
      <c r="P12" s="18"/>
      <c r="Q12" s="18"/>
      <c r="R12" s="18"/>
    </row>
    <row r="13" spans="2:18" x14ac:dyDescent="0.15">
      <c r="B13" s="23" t="s">
        <v>20</v>
      </c>
      <c r="C13" s="47">
        <v>9</v>
      </c>
      <c r="D13" s="47">
        <v>8</v>
      </c>
      <c r="E13" s="47">
        <v>7</v>
      </c>
      <c r="F13" s="47">
        <v>13</v>
      </c>
      <c r="G13" s="47">
        <v>18</v>
      </c>
      <c r="H13" s="47">
        <v>13</v>
      </c>
      <c r="I13" s="68">
        <v>18</v>
      </c>
      <c r="J13" s="16"/>
      <c r="K13" s="15"/>
      <c r="L13" s="17"/>
      <c r="M13" s="18"/>
      <c r="N13" s="18"/>
      <c r="O13" s="18"/>
      <c r="P13" s="18"/>
      <c r="Q13" s="18"/>
      <c r="R13" s="18"/>
    </row>
    <row r="14" spans="2:18" x14ac:dyDescent="0.15">
      <c r="B14" s="42" t="s">
        <v>21</v>
      </c>
      <c r="C14" s="43"/>
      <c r="D14" s="43"/>
      <c r="E14" s="43"/>
      <c r="F14" s="43"/>
      <c r="G14" s="43"/>
      <c r="H14" s="43"/>
      <c r="I14" s="44"/>
      <c r="J14" s="44"/>
      <c r="K14" s="45"/>
      <c r="L14" s="17"/>
      <c r="M14" s="18"/>
      <c r="N14" s="18"/>
      <c r="O14" s="18"/>
      <c r="P14" s="18"/>
      <c r="Q14" s="18"/>
      <c r="R14" s="18"/>
    </row>
    <row r="15" spans="2:18" x14ac:dyDescent="0.15">
      <c r="B15" s="23" t="s">
        <v>22</v>
      </c>
      <c r="C15" s="73">
        <f>C43/8760*100</f>
        <v>17.69406392694064</v>
      </c>
      <c r="D15" s="73">
        <f t="shared" ref="D15:E15" si="0">D43/8760*100</f>
        <v>19.406392694063925</v>
      </c>
      <c r="E15" s="73">
        <f t="shared" si="0"/>
        <v>19.406392694063925</v>
      </c>
      <c r="F15" s="46">
        <v>14</v>
      </c>
      <c r="G15" s="46">
        <v>22</v>
      </c>
      <c r="H15" s="46">
        <v>16</v>
      </c>
      <c r="I15" s="46">
        <v>23</v>
      </c>
      <c r="J15" s="16"/>
      <c r="K15" s="46" t="s">
        <v>135</v>
      </c>
      <c r="L15" s="17"/>
      <c r="M15" s="18"/>
      <c r="N15" s="18"/>
      <c r="O15" s="18"/>
      <c r="P15" s="18"/>
      <c r="Q15" s="18"/>
      <c r="R15" s="18"/>
    </row>
    <row r="16" spans="2:18" x14ac:dyDescent="0.15">
      <c r="B16" s="23" t="s">
        <v>23</v>
      </c>
      <c r="C16" s="73">
        <f>C15</f>
        <v>17.69406392694064</v>
      </c>
      <c r="D16" s="73">
        <f t="shared" ref="D16:E16" si="1">D15</f>
        <v>19.406392694063925</v>
      </c>
      <c r="E16" s="73">
        <f t="shared" si="1"/>
        <v>19.406392694063925</v>
      </c>
      <c r="F16" s="46">
        <v>14</v>
      </c>
      <c r="G16" s="46">
        <v>22</v>
      </c>
      <c r="H16" s="46">
        <v>16</v>
      </c>
      <c r="I16" s="46">
        <v>23</v>
      </c>
      <c r="J16" s="16"/>
      <c r="K16" s="46" t="s">
        <v>135</v>
      </c>
      <c r="L16" s="17"/>
      <c r="M16" s="18"/>
      <c r="N16" s="18"/>
      <c r="O16" s="18"/>
      <c r="P16" s="18"/>
      <c r="Q16" s="18"/>
      <c r="R16" s="18"/>
    </row>
    <row r="17" spans="2:18" x14ac:dyDescent="0.15">
      <c r="B17" s="24" t="s">
        <v>24</v>
      </c>
      <c r="C17" s="25"/>
      <c r="D17" s="25"/>
      <c r="E17" s="25"/>
      <c r="F17" s="25"/>
      <c r="G17" s="25"/>
      <c r="H17" s="25"/>
      <c r="I17" s="26"/>
      <c r="J17" s="26"/>
      <c r="K17" s="27"/>
      <c r="L17" s="17"/>
      <c r="M17" s="18"/>
      <c r="N17" s="18"/>
      <c r="O17" s="18"/>
      <c r="P17" s="18"/>
      <c r="Q17" s="18"/>
      <c r="R17" s="18"/>
    </row>
    <row r="18" spans="2:18" x14ac:dyDescent="0.15">
      <c r="B18" s="22" t="s">
        <v>25</v>
      </c>
      <c r="C18" s="47" t="s">
        <v>31</v>
      </c>
      <c r="D18" s="47" t="s">
        <v>31</v>
      </c>
      <c r="E18" s="47" t="s">
        <v>31</v>
      </c>
      <c r="F18" s="47" t="s">
        <v>31</v>
      </c>
      <c r="G18" s="47" t="s">
        <v>31</v>
      </c>
      <c r="H18" s="47" t="s">
        <v>31</v>
      </c>
      <c r="I18" s="46" t="s">
        <v>31</v>
      </c>
      <c r="J18" s="16" t="s">
        <v>61</v>
      </c>
      <c r="K18" s="50"/>
      <c r="L18" s="17"/>
      <c r="M18" s="18"/>
      <c r="N18" s="18"/>
      <c r="O18" s="18"/>
      <c r="P18" s="18"/>
      <c r="Q18" s="18"/>
      <c r="R18" s="18"/>
    </row>
    <row r="19" spans="2:18" x14ac:dyDescent="0.15">
      <c r="B19" s="22" t="s">
        <v>26</v>
      </c>
      <c r="C19" s="47" t="s">
        <v>31</v>
      </c>
      <c r="D19" s="47" t="s">
        <v>31</v>
      </c>
      <c r="E19" s="47" t="s">
        <v>31</v>
      </c>
      <c r="F19" s="47" t="s">
        <v>31</v>
      </c>
      <c r="G19" s="47" t="s">
        <v>31</v>
      </c>
      <c r="H19" s="47" t="s">
        <v>31</v>
      </c>
      <c r="I19" s="46" t="s">
        <v>31</v>
      </c>
      <c r="J19" s="16" t="s">
        <v>61</v>
      </c>
      <c r="K19" s="50"/>
      <c r="L19" s="17"/>
      <c r="M19" s="18"/>
      <c r="N19" s="18"/>
      <c r="O19" s="18"/>
      <c r="P19" s="18"/>
      <c r="Q19" s="18"/>
      <c r="R19" s="18"/>
    </row>
    <row r="20" spans="2:18" x14ac:dyDescent="0.15">
      <c r="B20" s="22" t="s">
        <v>27</v>
      </c>
      <c r="C20" s="47" t="s">
        <v>31</v>
      </c>
      <c r="D20" s="47" t="s">
        <v>31</v>
      </c>
      <c r="E20" s="47" t="s">
        <v>31</v>
      </c>
      <c r="F20" s="47" t="s">
        <v>31</v>
      </c>
      <c r="G20" s="47" t="s">
        <v>31</v>
      </c>
      <c r="H20" s="47" t="s">
        <v>31</v>
      </c>
      <c r="I20" s="46" t="s">
        <v>31</v>
      </c>
      <c r="J20" s="16" t="s">
        <v>61</v>
      </c>
      <c r="K20" s="50"/>
      <c r="L20" s="17"/>
      <c r="M20" s="18"/>
      <c r="N20" s="18"/>
      <c r="O20" s="18"/>
      <c r="P20" s="18"/>
      <c r="Q20" s="18"/>
      <c r="R20" s="18"/>
    </row>
    <row r="21" spans="2:18" x14ac:dyDescent="0.15">
      <c r="B21" s="22" t="s">
        <v>28</v>
      </c>
      <c r="C21" s="47" t="s">
        <v>31</v>
      </c>
      <c r="D21" s="47" t="s">
        <v>31</v>
      </c>
      <c r="E21" s="47" t="s">
        <v>31</v>
      </c>
      <c r="F21" s="47" t="s">
        <v>31</v>
      </c>
      <c r="G21" s="47" t="s">
        <v>31</v>
      </c>
      <c r="H21" s="47" t="s">
        <v>31</v>
      </c>
      <c r="I21" s="46" t="s">
        <v>31</v>
      </c>
      <c r="J21" s="16" t="s">
        <v>61</v>
      </c>
      <c r="K21" s="50"/>
      <c r="L21" s="17"/>
      <c r="M21" s="18"/>
      <c r="N21" s="18"/>
      <c r="O21" s="18"/>
      <c r="P21" s="18"/>
      <c r="Q21" s="18"/>
      <c r="R21" s="18"/>
    </row>
    <row r="22" spans="2:18" x14ac:dyDescent="0.15">
      <c r="B22" s="24" t="s">
        <v>29</v>
      </c>
      <c r="C22" s="55"/>
      <c r="D22" s="28"/>
      <c r="E22" s="28"/>
      <c r="F22" s="28"/>
      <c r="G22" s="28"/>
      <c r="H22" s="28"/>
      <c r="I22" s="28"/>
      <c r="J22" s="28"/>
      <c r="K22" s="29"/>
      <c r="L22" s="261"/>
      <c r="M22" s="261"/>
      <c r="N22" s="261"/>
      <c r="O22" s="261"/>
      <c r="P22" s="261"/>
      <c r="Q22" s="261"/>
      <c r="R22" s="261"/>
    </row>
    <row r="23" spans="2:18" x14ac:dyDescent="0.15">
      <c r="B23" s="22" t="s">
        <v>30</v>
      </c>
      <c r="C23" s="31">
        <v>0</v>
      </c>
      <c r="D23" s="31">
        <v>0</v>
      </c>
      <c r="E23" s="31">
        <v>0</v>
      </c>
      <c r="F23" s="31"/>
      <c r="G23" s="31"/>
      <c r="H23" s="31"/>
      <c r="I23" s="31"/>
      <c r="J23" s="30"/>
      <c r="K23" s="50"/>
      <c r="L23" s="17"/>
      <c r="M23" s="18"/>
      <c r="N23" s="18"/>
      <c r="O23" s="18"/>
      <c r="P23" s="18"/>
      <c r="Q23" s="18"/>
      <c r="R23" s="18"/>
    </row>
    <row r="24" spans="2:18" x14ac:dyDescent="0.15">
      <c r="B24" s="22" t="s">
        <v>33</v>
      </c>
      <c r="C24" s="31">
        <v>0</v>
      </c>
      <c r="D24" s="31">
        <v>0</v>
      </c>
      <c r="E24" s="31">
        <v>0</v>
      </c>
      <c r="F24" s="31"/>
      <c r="G24" s="31"/>
      <c r="H24" s="31"/>
      <c r="I24" s="31"/>
      <c r="J24" s="30"/>
      <c r="K24" s="50"/>
      <c r="L24" s="17"/>
      <c r="M24" s="18"/>
      <c r="N24" s="18"/>
      <c r="O24" s="18"/>
      <c r="P24" s="18"/>
      <c r="Q24" s="18"/>
      <c r="R24" s="18"/>
    </row>
    <row r="25" spans="2:18" ht="15" customHeight="1" x14ac:dyDescent="0.15">
      <c r="B25" s="22" t="s">
        <v>34</v>
      </c>
      <c r="C25" s="31">
        <v>0</v>
      </c>
      <c r="D25" s="31">
        <v>0</v>
      </c>
      <c r="E25" s="31">
        <v>0</v>
      </c>
      <c r="F25" s="31"/>
      <c r="G25" s="31"/>
      <c r="H25" s="31"/>
      <c r="I25" s="31"/>
      <c r="J25" s="32"/>
      <c r="K25" s="50"/>
      <c r="L25" s="17"/>
      <c r="M25" s="18"/>
      <c r="N25" s="18"/>
      <c r="O25" s="18"/>
      <c r="P25" s="18"/>
      <c r="Q25" s="18"/>
      <c r="R25" s="18"/>
    </row>
    <row r="26" spans="2:18" x14ac:dyDescent="0.15">
      <c r="B26" s="22" t="s">
        <v>35</v>
      </c>
      <c r="C26" s="31">
        <v>0</v>
      </c>
      <c r="D26" s="31">
        <v>0</v>
      </c>
      <c r="E26" s="31">
        <v>0</v>
      </c>
      <c r="F26" s="31"/>
      <c r="G26" s="31"/>
      <c r="H26" s="31"/>
      <c r="I26" s="31"/>
      <c r="J26" s="16"/>
      <c r="K26" s="16"/>
      <c r="L26" s="17"/>
      <c r="M26" s="33"/>
      <c r="N26" s="33"/>
      <c r="O26" s="33"/>
      <c r="P26" s="33"/>
      <c r="Q26" s="18"/>
      <c r="R26" s="18"/>
    </row>
    <row r="27" spans="2:18" x14ac:dyDescent="0.15">
      <c r="B27" s="22" t="s">
        <v>36</v>
      </c>
      <c r="C27" s="31">
        <v>0</v>
      </c>
      <c r="D27" s="31">
        <v>0</v>
      </c>
      <c r="E27" s="31">
        <v>0</v>
      </c>
      <c r="F27" s="31"/>
      <c r="G27" s="31"/>
      <c r="H27" s="31"/>
      <c r="I27" s="31"/>
      <c r="J27" s="16"/>
      <c r="K27" s="16"/>
      <c r="L27" s="261"/>
      <c r="M27" s="261"/>
      <c r="N27" s="261"/>
      <c r="O27" s="261"/>
      <c r="P27" s="261"/>
      <c r="Q27" s="261"/>
      <c r="R27" s="261"/>
    </row>
    <row r="28" spans="2:18" x14ac:dyDescent="0.15">
      <c r="B28" s="24" t="s">
        <v>37</v>
      </c>
      <c r="C28" s="28"/>
      <c r="D28" s="28"/>
      <c r="E28" s="28"/>
      <c r="F28" s="28"/>
      <c r="G28" s="28"/>
      <c r="H28" s="28"/>
      <c r="I28" s="28"/>
      <c r="J28" s="28"/>
      <c r="K28" s="29"/>
      <c r="L28" s="17"/>
      <c r="M28" s="18"/>
      <c r="N28" s="18"/>
      <c r="O28" s="18"/>
      <c r="P28" s="18"/>
      <c r="Q28" s="18"/>
      <c r="R28" s="18"/>
    </row>
    <row r="29" spans="2:18" x14ac:dyDescent="0.15">
      <c r="B29" s="22" t="s">
        <v>136</v>
      </c>
      <c r="C29" s="76">
        <f>C49</f>
        <v>1.1880000000000002</v>
      </c>
      <c r="D29" s="76">
        <f>D49</f>
        <v>0.84348000000000001</v>
      </c>
      <c r="E29" s="76">
        <f t="shared" ref="E29" si="2">E49</f>
        <v>0.61776000000000009</v>
      </c>
      <c r="F29" s="49">
        <f>'Ground-mounted PV'!F29*1.5</f>
        <v>1.0499999999999998</v>
      </c>
      <c r="G29" s="49">
        <f>'Ground-mounted PV'!G29*1.5</f>
        <v>1.7999999999999998</v>
      </c>
      <c r="H29" s="49">
        <f>'Ground-mounted PV'!H29*1.5</f>
        <v>0.46499999999999997</v>
      </c>
      <c r="I29" s="120">
        <f>'Ground-mounted PV'!I29*1.5</f>
        <v>1.0649999999999999</v>
      </c>
      <c r="J29" s="16" t="s">
        <v>137</v>
      </c>
      <c r="K29" s="50" t="s">
        <v>116</v>
      </c>
      <c r="L29" s="17"/>
      <c r="M29" s="35"/>
      <c r="N29" s="35"/>
      <c r="O29" s="35"/>
      <c r="P29" s="35"/>
      <c r="Q29" s="18"/>
      <c r="R29" s="18"/>
    </row>
    <row r="30" spans="2:18" x14ac:dyDescent="0.15">
      <c r="B30" s="22" t="s">
        <v>40</v>
      </c>
      <c r="C30" s="80">
        <f>C46/C48</f>
        <v>0.44444444444444448</v>
      </c>
      <c r="D30" s="80">
        <f t="shared" ref="D30:E30" si="3">D46/D48</f>
        <v>0.35844766425538166</v>
      </c>
      <c r="E30" s="80">
        <f t="shared" si="3"/>
        <v>0.33956495070267423</v>
      </c>
      <c r="F30" s="122"/>
      <c r="G30" s="122"/>
      <c r="H30" s="122"/>
      <c r="I30" s="122"/>
      <c r="J30" s="16"/>
      <c r="K30" s="16"/>
      <c r="L30" s="17"/>
      <c r="M30" s="35"/>
      <c r="N30" s="35"/>
      <c r="O30" s="35"/>
      <c r="P30" s="35"/>
      <c r="Q30" s="18"/>
      <c r="R30" s="18"/>
    </row>
    <row r="31" spans="2:18" x14ac:dyDescent="0.15">
      <c r="B31" s="22" t="s">
        <v>41</v>
      </c>
      <c r="C31" s="80">
        <f>100%-C30</f>
        <v>0.55555555555555558</v>
      </c>
      <c r="D31" s="80">
        <f t="shared" ref="D31:E31" si="4">100%-D30</f>
        <v>0.64155233574461834</v>
      </c>
      <c r="E31" s="80">
        <f t="shared" si="4"/>
        <v>0.66043504929732577</v>
      </c>
      <c r="F31" s="122"/>
      <c r="G31" s="122"/>
      <c r="H31" s="122"/>
      <c r="I31" s="122"/>
      <c r="J31" s="16"/>
      <c r="K31" s="16"/>
      <c r="L31" s="17"/>
      <c r="M31" s="35"/>
      <c r="N31" s="35"/>
      <c r="O31" s="35"/>
      <c r="P31" s="35"/>
      <c r="Q31" s="18"/>
      <c r="R31" s="18"/>
    </row>
    <row r="32" spans="2:18" x14ac:dyDescent="0.15">
      <c r="B32" s="22" t="s">
        <v>42</v>
      </c>
      <c r="C32" s="82">
        <f>'Ground-mounted PV'!C32</f>
        <v>14400</v>
      </c>
      <c r="D32" s="82">
        <f>'Ground-mounted PV'!D32</f>
        <v>10000</v>
      </c>
      <c r="E32" s="82">
        <f>'Ground-mounted PV'!E32</f>
        <v>8000</v>
      </c>
      <c r="F32" s="82">
        <f>'Ground-mounted PV'!F32</f>
        <v>10800</v>
      </c>
      <c r="G32" s="82">
        <f>'Ground-mounted PV'!G32</f>
        <v>18000</v>
      </c>
      <c r="H32" s="82">
        <f>'Ground-mounted PV'!H32</f>
        <v>5300</v>
      </c>
      <c r="I32" s="82">
        <f>'Ground-mounted PV'!I32</f>
        <v>10700</v>
      </c>
      <c r="J32" s="84" t="s">
        <v>138</v>
      </c>
      <c r="K32" s="50" t="s">
        <v>139</v>
      </c>
      <c r="L32" s="17"/>
      <c r="M32" s="35"/>
      <c r="N32" s="35"/>
      <c r="O32" s="35"/>
      <c r="P32" s="35"/>
      <c r="Q32" s="18"/>
      <c r="R32" s="18"/>
    </row>
    <row r="33" spans="1:18" x14ac:dyDescent="0.15">
      <c r="B33" s="22" t="s">
        <v>45</v>
      </c>
      <c r="C33" s="85">
        <v>0</v>
      </c>
      <c r="D33" s="85">
        <v>0</v>
      </c>
      <c r="E33" s="85">
        <v>0</v>
      </c>
      <c r="F33" s="47">
        <v>0</v>
      </c>
      <c r="G33" s="47">
        <v>0</v>
      </c>
      <c r="H33" s="47">
        <v>0</v>
      </c>
      <c r="I33" s="36">
        <v>0</v>
      </c>
      <c r="J33" s="16"/>
      <c r="K33" s="50"/>
      <c r="L33" s="17"/>
      <c r="M33" s="35"/>
      <c r="N33" s="35"/>
      <c r="O33" s="35"/>
      <c r="P33" s="35"/>
      <c r="Q33" s="18"/>
      <c r="R33" s="18"/>
    </row>
    <row r="34" spans="1:18" x14ac:dyDescent="0.15">
      <c r="B34" s="22" t="s">
        <v>46</v>
      </c>
      <c r="C34" s="85">
        <v>0</v>
      </c>
      <c r="D34" s="85">
        <v>0</v>
      </c>
      <c r="E34" s="85">
        <v>0</v>
      </c>
      <c r="F34" s="47">
        <v>0</v>
      </c>
      <c r="G34" s="47">
        <v>0</v>
      </c>
      <c r="H34" s="47">
        <v>0</v>
      </c>
      <c r="I34" s="36">
        <v>0</v>
      </c>
      <c r="J34" s="16"/>
      <c r="K34" s="50"/>
      <c r="L34" s="261"/>
      <c r="M34" s="261"/>
      <c r="N34" s="261"/>
      <c r="O34" s="261"/>
      <c r="P34" s="261"/>
      <c r="Q34" s="261"/>
      <c r="R34" s="261"/>
    </row>
    <row r="35" spans="1:18" x14ac:dyDescent="0.15">
      <c r="B35" s="86" t="s">
        <v>47</v>
      </c>
      <c r="C35" s="87"/>
      <c r="D35" s="87"/>
      <c r="E35" s="87"/>
      <c r="F35" s="123"/>
      <c r="G35" s="123"/>
      <c r="H35" s="123"/>
      <c r="I35" s="123"/>
      <c r="J35" s="123"/>
      <c r="K35" s="124"/>
      <c r="M35" s="18"/>
      <c r="N35" s="18"/>
      <c r="O35" s="18"/>
      <c r="P35" s="18"/>
      <c r="Q35" s="18"/>
      <c r="R35" s="18"/>
    </row>
    <row r="36" spans="1:18" ht="15" customHeight="1" x14ac:dyDescent="0.15">
      <c r="B36" s="89" t="s">
        <v>140</v>
      </c>
      <c r="C36" s="90">
        <v>1600</v>
      </c>
      <c r="D36" s="90">
        <v>1600</v>
      </c>
      <c r="E36" s="90">
        <v>1600</v>
      </c>
      <c r="F36" s="91"/>
      <c r="G36" s="91"/>
      <c r="H36" s="36"/>
      <c r="I36" s="36"/>
      <c r="J36" s="36" t="s">
        <v>77</v>
      </c>
      <c r="K36" s="54">
        <v>8</v>
      </c>
      <c r="M36" s="18"/>
      <c r="N36" s="18"/>
      <c r="O36" s="18"/>
      <c r="P36" s="18"/>
      <c r="Q36" s="18"/>
      <c r="R36" s="18"/>
    </row>
    <row r="37" spans="1:18" ht="15" customHeight="1" x14ac:dyDescent="0.15">
      <c r="B37" s="89" t="s">
        <v>141</v>
      </c>
      <c r="C37" s="110">
        <f>'Ground-mounted PV'!C37</f>
        <v>1.1000000000000001</v>
      </c>
      <c r="D37" s="110">
        <f>'Ground-mounted PV'!D37</f>
        <v>1.1000000000000001</v>
      </c>
      <c r="E37" s="110">
        <f>'Ground-mounted PV'!E37</f>
        <v>1.1000000000000001</v>
      </c>
      <c r="F37" s="91"/>
      <c r="G37" s="91"/>
      <c r="H37" s="36"/>
      <c r="I37" s="36"/>
      <c r="J37" s="36" t="s">
        <v>142</v>
      </c>
      <c r="K37" s="54"/>
      <c r="Q37" s="18"/>
      <c r="R37" s="18"/>
    </row>
    <row r="38" spans="1:18" ht="15" customHeight="1" x14ac:dyDescent="0.15">
      <c r="B38" s="89" t="s">
        <v>143</v>
      </c>
      <c r="C38" s="110">
        <f>'Ground-mounted PV'!C38</f>
        <v>1.01</v>
      </c>
      <c r="D38" s="110">
        <f>'Ground-mounted PV'!D38</f>
        <v>1.01</v>
      </c>
      <c r="E38" s="110">
        <f>'Ground-mounted PV'!E38</f>
        <v>1.01</v>
      </c>
      <c r="F38" s="91"/>
      <c r="G38" s="91"/>
      <c r="H38" s="36"/>
      <c r="I38" s="36"/>
      <c r="J38" s="36" t="s">
        <v>144</v>
      </c>
      <c r="K38" s="54">
        <v>8</v>
      </c>
      <c r="Q38" s="18"/>
      <c r="R38" s="18"/>
    </row>
    <row r="39" spans="1:18" ht="15" customHeight="1" x14ac:dyDescent="0.15">
      <c r="B39" s="89" t="s">
        <v>195</v>
      </c>
      <c r="C39" s="110">
        <f>'Ground-mounted PV'!C39</f>
        <v>0.86</v>
      </c>
      <c r="D39" s="110">
        <f>'Ground-mounted PV'!D39</f>
        <v>0.95</v>
      </c>
      <c r="E39" s="110">
        <f>'Ground-mounted PV'!E39</f>
        <v>0.97</v>
      </c>
      <c r="F39" s="91"/>
      <c r="G39" s="91"/>
      <c r="H39" s="36"/>
      <c r="I39" s="36"/>
      <c r="J39" s="36" t="s">
        <v>146</v>
      </c>
      <c r="K39" s="54">
        <v>5.6</v>
      </c>
      <c r="Q39" s="18"/>
      <c r="R39" s="18"/>
    </row>
    <row r="40" spans="1:18" ht="15" customHeight="1" x14ac:dyDescent="0.15">
      <c r="B40" s="89" t="s">
        <v>147</v>
      </c>
      <c r="C40" s="80">
        <f>'Ground-mounted PV'!C40</f>
        <v>0.20499999999999999</v>
      </c>
      <c r="D40" s="80">
        <f>'Ground-mounted PV'!D40</f>
        <v>0.23</v>
      </c>
      <c r="E40" s="80">
        <f>'Ground-mounted PV'!E40</f>
        <v>0.26</v>
      </c>
      <c r="F40" s="126"/>
      <c r="G40" s="126"/>
      <c r="H40" s="36"/>
      <c r="I40" s="36"/>
      <c r="J40" s="36"/>
      <c r="K40" s="54">
        <v>6</v>
      </c>
      <c r="Q40" s="18"/>
      <c r="R40" s="18"/>
    </row>
    <row r="41" spans="1:18" x14ac:dyDescent="0.15">
      <c r="A41" s="3"/>
      <c r="B41" s="96" t="s">
        <v>148</v>
      </c>
      <c r="C41" s="90">
        <f>'Ground-mounted PV'!C41</f>
        <v>15</v>
      </c>
      <c r="D41" s="90">
        <f>'Ground-mounted PV'!D41</f>
        <v>15</v>
      </c>
      <c r="E41" s="90">
        <f>'Ground-mounted PV'!E41</f>
        <v>15</v>
      </c>
      <c r="F41" s="98" t="s">
        <v>149</v>
      </c>
      <c r="G41" s="98"/>
      <c r="H41" s="129"/>
      <c r="I41" s="129"/>
      <c r="J41" s="16"/>
      <c r="K41" s="16">
        <v>6</v>
      </c>
    </row>
    <row r="42" spans="1:18" x14ac:dyDescent="0.15">
      <c r="A42" s="3"/>
      <c r="B42" s="100" t="s">
        <v>150</v>
      </c>
      <c r="C42" s="101"/>
      <c r="D42" s="101"/>
      <c r="E42" s="101"/>
      <c r="F42" s="130"/>
      <c r="G42" s="130"/>
      <c r="H42" s="131"/>
      <c r="I42" s="131"/>
      <c r="J42" s="123"/>
      <c r="K42" s="124"/>
    </row>
    <row r="43" spans="1:18" x14ac:dyDescent="0.15">
      <c r="A43" s="3"/>
      <c r="B43" s="103" t="s">
        <v>151</v>
      </c>
      <c r="C43" s="104">
        <f>MROUND(C44*C37,50)</f>
        <v>1550</v>
      </c>
      <c r="D43" s="104">
        <f>MROUND(D44*D37,50)</f>
        <v>1700</v>
      </c>
      <c r="E43" s="104">
        <f>MROUND(E44*E37,50)</f>
        <v>1700</v>
      </c>
      <c r="F43" s="105"/>
      <c r="G43" s="105" t="s">
        <v>149</v>
      </c>
      <c r="H43" s="132"/>
      <c r="I43" s="132"/>
      <c r="J43" s="36" t="s">
        <v>152</v>
      </c>
      <c r="K43" s="54"/>
    </row>
    <row r="44" spans="1:18" x14ac:dyDescent="0.15">
      <c r="A44" s="3"/>
      <c r="B44" s="89" t="s">
        <v>153</v>
      </c>
      <c r="C44" s="90">
        <f>MROUND(C36*C38*C39,50)</f>
        <v>1400</v>
      </c>
      <c r="D44" s="90">
        <f>MROUND(D36*D38*D39,50)</f>
        <v>1550</v>
      </c>
      <c r="E44" s="90">
        <f>MROUND(E36*E38*E39,50)</f>
        <v>1550</v>
      </c>
      <c r="F44" s="91"/>
      <c r="G44" s="91" t="s">
        <v>149</v>
      </c>
      <c r="H44" s="36"/>
      <c r="I44" s="36"/>
      <c r="J44" s="16" t="s">
        <v>154</v>
      </c>
      <c r="K44" s="16"/>
      <c r="M44" s="107"/>
    </row>
    <row r="45" spans="1:18" x14ac:dyDescent="0.15">
      <c r="A45" s="3"/>
      <c r="B45" s="100" t="s">
        <v>155</v>
      </c>
      <c r="C45" s="101"/>
      <c r="D45" s="101"/>
      <c r="E45" s="101"/>
      <c r="F45" s="130"/>
      <c r="G45" s="130"/>
      <c r="H45" s="131"/>
      <c r="I45" s="131"/>
      <c r="J45" s="123"/>
      <c r="K45" s="124"/>
      <c r="M45" s="107"/>
      <c r="N45" s="107"/>
      <c r="O45" s="107"/>
    </row>
    <row r="46" spans="1:18" x14ac:dyDescent="0.15">
      <c r="A46" s="3"/>
      <c r="B46" s="108" t="s">
        <v>156</v>
      </c>
      <c r="C46" s="93">
        <f>C48-C47</f>
        <v>0.48000000000000009</v>
      </c>
      <c r="D46" s="93">
        <v>0.27485766895102665</v>
      </c>
      <c r="E46" s="93">
        <v>0.19069967631462184</v>
      </c>
      <c r="F46" s="91"/>
      <c r="G46" s="91"/>
      <c r="H46" s="36"/>
      <c r="I46" s="36"/>
      <c r="J46" s="36"/>
      <c r="K46" s="54">
        <v>6.9</v>
      </c>
      <c r="M46" s="109"/>
      <c r="N46" s="109"/>
      <c r="O46" s="109"/>
    </row>
    <row r="47" spans="1:18" x14ac:dyDescent="0.15">
      <c r="A47" s="3"/>
      <c r="B47" s="108" t="s">
        <v>157</v>
      </c>
      <c r="C47" s="110">
        <f>'Ground-mounted PV'!C47*1.5</f>
        <v>0.6</v>
      </c>
      <c r="D47" s="110">
        <f>'Ground-mounted PV'!D47*1.5</f>
        <v>0.46679999999999999</v>
      </c>
      <c r="E47" s="110">
        <f>'Ground-mounted PV'!E47*1.5</f>
        <v>0.36660000000000004</v>
      </c>
      <c r="F47" s="91"/>
      <c r="G47" s="91"/>
      <c r="H47" s="36"/>
      <c r="I47" s="36"/>
      <c r="J47" s="36"/>
      <c r="K47" s="54">
        <v>6.9</v>
      </c>
      <c r="M47" s="109"/>
      <c r="N47" s="109"/>
      <c r="O47" s="109"/>
    </row>
    <row r="48" spans="1:18" x14ac:dyDescent="0.15">
      <c r="A48" s="3"/>
      <c r="B48" s="108" t="s">
        <v>158</v>
      </c>
      <c r="C48" s="110">
        <f>'Ground-mounted PV'!C48*1.5</f>
        <v>1.08</v>
      </c>
      <c r="D48" s="110">
        <f>'Ground-mounted PV'!D48*1.5</f>
        <v>0.76679999999999993</v>
      </c>
      <c r="E48" s="110">
        <f>'Ground-mounted PV'!E48*1.5</f>
        <v>0.56159999999999999</v>
      </c>
      <c r="F48" s="91"/>
      <c r="G48" s="91"/>
      <c r="H48" s="36"/>
      <c r="I48" s="36"/>
      <c r="J48" s="36" t="s">
        <v>159</v>
      </c>
      <c r="K48" s="91" t="s">
        <v>160</v>
      </c>
      <c r="M48" s="109"/>
      <c r="N48" s="109"/>
      <c r="O48" s="109"/>
    </row>
    <row r="49" spans="1:16" x14ac:dyDescent="0.15">
      <c r="A49" s="3"/>
      <c r="B49" s="89" t="s">
        <v>196</v>
      </c>
      <c r="C49" s="110">
        <f>C48*1.1</f>
        <v>1.1880000000000002</v>
      </c>
      <c r="D49" s="110">
        <f t="shared" ref="D49:E49" si="5">D48*1.1</f>
        <v>0.84348000000000001</v>
      </c>
      <c r="E49" s="110">
        <f t="shared" si="5"/>
        <v>0.61776000000000009</v>
      </c>
      <c r="F49" s="91"/>
      <c r="G49" s="91"/>
      <c r="H49" s="36"/>
      <c r="I49" s="36"/>
      <c r="J49" s="36" t="s">
        <v>162</v>
      </c>
      <c r="K49" s="91"/>
    </row>
    <row r="50" spans="1:16" x14ac:dyDescent="0.15">
      <c r="A50" s="3"/>
      <c r="B50" s="4"/>
      <c r="C50" s="4"/>
      <c r="D50" s="4"/>
      <c r="E50" s="4"/>
      <c r="F50" s="4"/>
      <c r="G50" s="4"/>
      <c r="H50" s="4"/>
      <c r="I50" s="112"/>
      <c r="J50" s="112"/>
      <c r="K50" s="113"/>
    </row>
    <row r="51" spans="1:16" s="1" customFormat="1" x14ac:dyDescent="0.15">
      <c r="A51" s="3" t="s">
        <v>50</v>
      </c>
      <c r="C51" s="40"/>
      <c r="D51" s="40"/>
      <c r="E51" s="40"/>
      <c r="F51" s="40"/>
      <c r="G51" s="40"/>
      <c r="M51" s="4"/>
      <c r="N51" s="4"/>
      <c r="O51" s="4"/>
      <c r="P51" s="4"/>
    </row>
    <row r="52" spans="1:16" x14ac:dyDescent="0.15">
      <c r="A52" s="53">
        <v>1</v>
      </c>
      <c r="B52" s="53" t="s">
        <v>51</v>
      </c>
    </row>
    <row r="53" spans="1:16" x14ac:dyDescent="0.15">
      <c r="A53" s="53">
        <v>2</v>
      </c>
      <c r="B53" s="53" t="s">
        <v>163</v>
      </c>
    </row>
    <row r="54" spans="1:16" x14ac:dyDescent="0.15">
      <c r="A54" s="53">
        <v>3</v>
      </c>
      <c r="B54" s="53" t="s">
        <v>164</v>
      </c>
    </row>
    <row r="55" spans="1:16" x14ac:dyDescent="0.15">
      <c r="A55" s="53">
        <v>4</v>
      </c>
      <c r="B55" s="53" t="s">
        <v>54</v>
      </c>
    </row>
    <row r="56" spans="1:16" x14ac:dyDescent="0.15">
      <c r="A56" s="53">
        <v>5</v>
      </c>
      <c r="B56" s="53" t="s">
        <v>165</v>
      </c>
    </row>
    <row r="57" spans="1:16" x14ac:dyDescent="0.15">
      <c r="A57" s="53">
        <v>6</v>
      </c>
      <c r="B57" s="53" t="s">
        <v>166</v>
      </c>
    </row>
    <row r="58" spans="1:16" x14ac:dyDescent="0.15">
      <c r="A58" s="53">
        <v>7</v>
      </c>
      <c r="B58" s="53" t="s">
        <v>167</v>
      </c>
    </row>
    <row r="59" spans="1:16" x14ac:dyDescent="0.15">
      <c r="A59" s="53">
        <v>8</v>
      </c>
      <c r="B59" s="53" t="s">
        <v>168</v>
      </c>
    </row>
    <row r="60" spans="1:16" x14ac:dyDescent="0.15">
      <c r="A60" s="53">
        <v>9</v>
      </c>
      <c r="B60" s="53" t="s">
        <v>169</v>
      </c>
    </row>
    <row r="61" spans="1:16" x14ac:dyDescent="0.15">
      <c r="A61" s="3" t="s">
        <v>59</v>
      </c>
    </row>
    <row r="62" spans="1:16" x14ac:dyDescent="0.15">
      <c r="A62" s="52" t="s">
        <v>13</v>
      </c>
      <c r="B62" s="75" t="s">
        <v>170</v>
      </c>
      <c r="C62" s="65"/>
      <c r="D62" s="65"/>
      <c r="E62" s="65"/>
      <c r="F62" s="65"/>
      <c r="G62" s="65"/>
      <c r="H62" s="65"/>
      <c r="I62" s="65"/>
      <c r="J62" s="65"/>
      <c r="K62" s="65"/>
    </row>
    <row r="63" spans="1:16" ht="13.5" customHeight="1" x14ac:dyDescent="0.15">
      <c r="A63" s="52" t="s">
        <v>61</v>
      </c>
      <c r="B63" s="75" t="s">
        <v>171</v>
      </c>
      <c r="C63" s="65"/>
      <c r="D63" s="65"/>
      <c r="E63" s="65"/>
      <c r="F63" s="65"/>
      <c r="G63" s="65"/>
      <c r="H63" s="65"/>
      <c r="I63" s="65"/>
      <c r="J63" s="65"/>
      <c r="K63" s="65"/>
    </row>
    <row r="64" spans="1:16" ht="15" customHeight="1" x14ac:dyDescent="0.15">
      <c r="A64" s="52" t="s">
        <v>32</v>
      </c>
      <c r="B64" s="75" t="s">
        <v>172</v>
      </c>
      <c r="C64" s="65"/>
      <c r="D64" s="65"/>
      <c r="E64" s="65"/>
      <c r="F64" s="65"/>
      <c r="G64" s="65"/>
      <c r="H64" s="65"/>
      <c r="I64" s="65"/>
      <c r="J64" s="65"/>
      <c r="K64" s="65"/>
    </row>
    <row r="65" spans="1:11" x14ac:dyDescent="0.15">
      <c r="A65" s="52" t="s">
        <v>64</v>
      </c>
      <c r="B65" s="75" t="s">
        <v>173</v>
      </c>
      <c r="C65" s="65"/>
      <c r="D65" s="65"/>
      <c r="E65" s="65"/>
      <c r="F65" s="65"/>
      <c r="G65" s="65"/>
      <c r="H65" s="65"/>
      <c r="I65" s="65"/>
      <c r="J65" s="65"/>
      <c r="K65" s="65"/>
    </row>
    <row r="66" spans="1:11" x14ac:dyDescent="0.15">
      <c r="A66" s="52" t="s">
        <v>66</v>
      </c>
      <c r="B66" s="75" t="s">
        <v>75</v>
      </c>
      <c r="C66" s="65"/>
      <c r="D66" s="65"/>
      <c r="E66" s="65"/>
      <c r="F66" s="65"/>
      <c r="G66" s="65"/>
      <c r="H66" s="65"/>
      <c r="I66" s="65"/>
      <c r="J66" s="65"/>
      <c r="K66" s="65"/>
    </row>
    <row r="67" spans="1:11" ht="26.25" customHeight="1" x14ac:dyDescent="0.15">
      <c r="A67" s="52" t="s">
        <v>77</v>
      </c>
      <c r="B67" s="255" t="s">
        <v>174</v>
      </c>
      <c r="C67" s="255"/>
      <c r="D67" s="255"/>
      <c r="E67" s="255"/>
      <c r="F67" s="255"/>
      <c r="G67" s="255"/>
      <c r="H67" s="255"/>
      <c r="I67" s="255"/>
      <c r="J67" s="255"/>
      <c r="K67" s="255"/>
    </row>
    <row r="68" spans="1:11" ht="25.5" customHeight="1" x14ac:dyDescent="0.15">
      <c r="A68" s="52" t="s">
        <v>142</v>
      </c>
      <c r="B68" s="255" t="s">
        <v>175</v>
      </c>
      <c r="C68" s="255"/>
      <c r="D68" s="255"/>
      <c r="E68" s="255"/>
      <c r="F68" s="255"/>
      <c r="G68" s="255"/>
      <c r="H68" s="255"/>
      <c r="I68" s="255"/>
      <c r="J68" s="255"/>
      <c r="K68" s="255"/>
    </row>
    <row r="69" spans="1:11" ht="39" customHeight="1" x14ac:dyDescent="0.15">
      <c r="A69" s="52" t="s">
        <v>144</v>
      </c>
      <c r="B69" s="255" t="s">
        <v>176</v>
      </c>
      <c r="C69" s="255"/>
      <c r="D69" s="255"/>
      <c r="E69" s="255"/>
      <c r="F69" s="255"/>
      <c r="G69" s="255"/>
      <c r="H69" s="255"/>
      <c r="I69" s="255"/>
      <c r="J69" s="255"/>
      <c r="K69" s="255"/>
    </row>
    <row r="70" spans="1:11" ht="90.75" customHeight="1" x14ac:dyDescent="0.15">
      <c r="A70" s="52" t="s">
        <v>146</v>
      </c>
      <c r="B70" s="255" t="s">
        <v>177</v>
      </c>
      <c r="C70" s="255"/>
      <c r="D70" s="255"/>
      <c r="E70" s="255"/>
      <c r="F70" s="255"/>
      <c r="G70" s="255"/>
      <c r="H70" s="255"/>
      <c r="I70" s="255"/>
      <c r="J70" s="255"/>
      <c r="K70" s="255"/>
    </row>
    <row r="71" spans="1:11" ht="25.5" customHeight="1" x14ac:dyDescent="0.15">
      <c r="A71" s="52" t="s">
        <v>178</v>
      </c>
      <c r="B71" s="255" t="s">
        <v>179</v>
      </c>
      <c r="C71" s="255"/>
      <c r="D71" s="255"/>
      <c r="E71" s="255"/>
      <c r="F71" s="255"/>
      <c r="G71" s="255"/>
      <c r="H71" s="255"/>
      <c r="I71" s="255"/>
      <c r="J71" s="255"/>
      <c r="K71" s="255"/>
    </row>
    <row r="72" spans="1:11" ht="24.75" customHeight="1" x14ac:dyDescent="0.15">
      <c r="A72" s="52" t="s">
        <v>180</v>
      </c>
      <c r="B72" s="255" t="s">
        <v>181</v>
      </c>
      <c r="C72" s="255"/>
      <c r="D72" s="255"/>
      <c r="E72" s="255"/>
      <c r="F72" s="255"/>
      <c r="G72" s="255"/>
      <c r="H72" s="255"/>
      <c r="I72" s="255"/>
      <c r="J72" s="255"/>
      <c r="K72" s="255"/>
    </row>
    <row r="73" spans="1:11" ht="16.5" customHeight="1" x14ac:dyDescent="0.15">
      <c r="A73" s="52" t="s">
        <v>182</v>
      </c>
      <c r="B73" s="75" t="s">
        <v>183</v>
      </c>
      <c r="C73" s="65"/>
      <c r="D73" s="65"/>
      <c r="E73" s="65"/>
      <c r="F73" s="65"/>
      <c r="G73" s="65"/>
      <c r="H73" s="65"/>
      <c r="I73" s="65"/>
      <c r="J73" s="65"/>
      <c r="K73" s="65"/>
    </row>
    <row r="74" spans="1:11" ht="63" customHeight="1" x14ac:dyDescent="0.15">
      <c r="A74" s="52" t="s">
        <v>159</v>
      </c>
      <c r="B74" s="255" t="s">
        <v>184</v>
      </c>
      <c r="C74" s="255"/>
      <c r="D74" s="255"/>
      <c r="E74" s="255"/>
      <c r="F74" s="255"/>
      <c r="G74" s="255"/>
      <c r="H74" s="255"/>
      <c r="I74" s="255"/>
      <c r="J74" s="255"/>
      <c r="K74" s="255"/>
    </row>
    <row r="75" spans="1:11" ht="14.25" customHeight="1" x14ac:dyDescent="0.15">
      <c r="A75" s="52" t="s">
        <v>185</v>
      </c>
      <c r="B75" s="75" t="s">
        <v>186</v>
      </c>
      <c r="C75" s="65"/>
      <c r="D75" s="65"/>
      <c r="E75" s="65"/>
      <c r="F75" s="65"/>
      <c r="G75" s="65"/>
      <c r="H75" s="65"/>
      <c r="I75" s="65"/>
      <c r="J75" s="65"/>
      <c r="K75" s="65"/>
    </row>
    <row r="76" spans="1:11" ht="15.75" customHeight="1" x14ac:dyDescent="0.15">
      <c r="A76" s="52" t="s">
        <v>187</v>
      </c>
      <c r="B76" s="75" t="s">
        <v>188</v>
      </c>
      <c r="C76" s="65"/>
      <c r="D76" s="65"/>
      <c r="E76" s="65"/>
      <c r="F76" s="65"/>
      <c r="G76" s="65"/>
      <c r="H76" s="65"/>
      <c r="I76" s="65"/>
      <c r="J76" s="65"/>
      <c r="K76" s="65"/>
    </row>
    <row r="77" spans="1:11" x14ac:dyDescent="0.15">
      <c r="A77" s="52" t="s">
        <v>189</v>
      </c>
      <c r="B77" s="53" t="s">
        <v>76</v>
      </c>
    </row>
    <row r="78" spans="1:11" ht="51.75" customHeight="1" x14ac:dyDescent="0.15">
      <c r="A78" s="59" t="s">
        <v>190</v>
      </c>
      <c r="B78" s="262" t="s">
        <v>191</v>
      </c>
      <c r="C78" s="262"/>
      <c r="D78" s="262"/>
      <c r="E78" s="262"/>
      <c r="F78" s="262"/>
      <c r="G78" s="262"/>
      <c r="H78" s="262"/>
      <c r="I78" s="262"/>
      <c r="J78" s="262"/>
      <c r="K78" s="262"/>
    </row>
  </sheetData>
  <mergeCells count="16">
    <mergeCell ref="L22:R22"/>
    <mergeCell ref="C3:K3"/>
    <mergeCell ref="M3:R3"/>
    <mergeCell ref="F4:G4"/>
    <mergeCell ref="H4:I4"/>
    <mergeCell ref="L5:R5"/>
    <mergeCell ref="B71:K71"/>
    <mergeCell ref="B72:K72"/>
    <mergeCell ref="B74:K74"/>
    <mergeCell ref="B78:K78"/>
    <mergeCell ref="L27:R27"/>
    <mergeCell ref="L34:R34"/>
    <mergeCell ref="B67:K67"/>
    <mergeCell ref="B68:K68"/>
    <mergeCell ref="B69:K69"/>
    <mergeCell ref="B70:K70"/>
  </mergeCells>
  <pageMargins left="0.70866141732283472" right="0.70866141732283472" top="0.74803149606299213" bottom="0.74803149606299213" header="0.31496062992125984" footer="0.31496062992125984"/>
  <pageSetup paperSize="9" scale="6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D5D4FB669C5A47858A672D778C1E53" ma:contentTypeVersion="" ma:contentTypeDescription="Create a new document." ma:contentTypeScope="" ma:versionID="96c98d29dba9d39687aff2d229b83db1">
  <xsd:schema xmlns:xsd="http://www.w3.org/2001/XMLSchema" xmlns:xs="http://www.w3.org/2001/XMLSchema" xmlns:p="http://schemas.microsoft.com/office/2006/metadata/properties" xmlns:ns2="34fe28fa-5247-4e99-8a11-da5cc0cb5224" xmlns:ns3="5b8078ab-8515-4af5-94c5-f9cec008c9b0" targetNamespace="http://schemas.microsoft.com/office/2006/metadata/properties" ma:root="true" ma:fieldsID="f29f70a187c72322dc2d1d2716a82b38" ns2:_="" ns3:_="">
    <xsd:import namespace="34fe28fa-5247-4e99-8a11-da5cc0cb5224"/>
    <xsd:import namespace="5b8078ab-8515-4af5-94c5-f9cec008c9b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fe28fa-5247-4e99-8a11-da5cc0cb52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8078ab-8515-4af5-94c5-f9cec008c9b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0F9B9E-CCCB-408E-9A54-B3525FE16A54}">
  <ds:schemaRefs>
    <ds:schemaRef ds:uri="http://schemas.microsoft.com/sharepoint/v3/contenttype/forms"/>
  </ds:schemaRefs>
</ds:datastoreItem>
</file>

<file path=customXml/itemProps2.xml><?xml version="1.0" encoding="utf-8"?>
<ds:datastoreItem xmlns:ds="http://schemas.openxmlformats.org/officeDocument/2006/customXml" ds:itemID="{CAE1AFC1-03C0-4201-9748-93BE7C3747A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DCC8A3B-5BC5-4F8B-BC6D-0E86C3B8F2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fe28fa-5247-4e99-8a11-da5cc0cb5224"/>
    <ds:schemaRef ds:uri="5b8078ab-8515-4af5-94c5-f9cec008c9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30</vt:i4>
      </vt:variant>
      <vt:variant>
        <vt:lpstr>Named Ranges</vt:lpstr>
      </vt:variant>
      <vt:variant>
        <vt:i4>81</vt:i4>
      </vt:variant>
    </vt:vector>
  </HeadingPairs>
  <TitlesOfParts>
    <vt:vector size="111" baseType="lpstr">
      <vt:lpstr>Geothermal - large</vt:lpstr>
      <vt:lpstr>Geothermal - small</vt:lpstr>
      <vt:lpstr>Large hydro power plant</vt:lpstr>
      <vt:lpstr>Medium-small hydro power plant</vt:lpstr>
      <vt:lpstr>Mini-micro hydro power plant</vt:lpstr>
      <vt:lpstr>Hydro pumped storage</vt:lpstr>
      <vt:lpstr>Ground-mounted PV</vt:lpstr>
      <vt:lpstr>Rooftop PV</vt:lpstr>
      <vt:lpstr>Industrial PV</vt:lpstr>
      <vt:lpstr>Floating PV</vt:lpstr>
      <vt:lpstr>Wind Onshore</vt:lpstr>
      <vt:lpstr>Small wind onshore</vt:lpstr>
      <vt:lpstr>Wind Offshore</vt:lpstr>
      <vt:lpstr>Tidal Impoundment</vt:lpstr>
      <vt:lpstr>Tidal Stream</vt:lpstr>
      <vt:lpstr>Coal Subcritical</vt:lpstr>
      <vt:lpstr>Coal Supercritical</vt:lpstr>
      <vt:lpstr>Coal Ultra supercritical</vt:lpstr>
      <vt:lpstr>IGCC</vt:lpstr>
      <vt:lpstr>CCGT</vt:lpstr>
      <vt:lpstr>SCGT</vt:lpstr>
      <vt:lpstr>CCS - Supercritical coal</vt:lpstr>
      <vt:lpstr>CCS - CCGT</vt:lpstr>
      <vt:lpstr>CCS - IGCC</vt:lpstr>
      <vt:lpstr>Biomass power plant (small)</vt:lpstr>
      <vt:lpstr>Biogas power plant (small)</vt:lpstr>
      <vt:lpstr>MSW incineration</vt:lpstr>
      <vt:lpstr>Landfill</vt:lpstr>
      <vt:lpstr>Diesel power plant</vt:lpstr>
      <vt:lpstr>Batteries</vt:lpstr>
      <vt:lpstr>Batteries!_Toc319151884</vt:lpstr>
      <vt:lpstr>'Biogas power plant (small)'!_Toc319151884</vt:lpstr>
      <vt:lpstr>'Biomass power plant (small)'!_Toc319151884</vt:lpstr>
      <vt:lpstr>CCGT!_Toc319151884</vt:lpstr>
      <vt:lpstr>'CCS - CCGT'!_Toc319151884</vt:lpstr>
      <vt:lpstr>'CCS - Supercritical coal'!_Toc319151884</vt:lpstr>
      <vt:lpstr>'Coal Subcritical'!_Toc319151884</vt:lpstr>
      <vt:lpstr>'Coal Supercritical'!_Toc319151884</vt:lpstr>
      <vt:lpstr>'Coal Ultra supercritical'!_Toc319151884</vt:lpstr>
      <vt:lpstr>'Diesel power plant'!_Toc319151884</vt:lpstr>
      <vt:lpstr>'Floating PV'!_Toc319151884</vt:lpstr>
      <vt:lpstr>'Geothermal - large'!_Toc319151884</vt:lpstr>
      <vt:lpstr>'Geothermal - small'!_Toc319151884</vt:lpstr>
      <vt:lpstr>'Hydro pumped storage'!_Toc319151884</vt:lpstr>
      <vt:lpstr>'Industrial PV'!_Toc319151884</vt:lpstr>
      <vt:lpstr>Landfill!_Toc319151884</vt:lpstr>
      <vt:lpstr>'Large hydro power plant'!_Toc319151884</vt:lpstr>
      <vt:lpstr>'Medium-small hydro power plant'!_Toc319151884</vt:lpstr>
      <vt:lpstr>'Mini-micro hydro power plant'!_Toc319151884</vt:lpstr>
      <vt:lpstr>'MSW incineration'!_Toc319151884</vt:lpstr>
      <vt:lpstr>'Rooftop PV'!_Toc319151884</vt:lpstr>
      <vt:lpstr>SCGT!_Toc319151884</vt:lpstr>
      <vt:lpstr>'Small wind onshore'!_Toc319151884</vt:lpstr>
      <vt:lpstr>'Tidal Impoundment'!_Toc319151884</vt:lpstr>
      <vt:lpstr>'Tidal Stream'!_Toc319151884</vt:lpstr>
      <vt:lpstr>'Wind Offshore'!_Toc319151884</vt:lpstr>
      <vt:lpstr>'Wind Onshore'!_Toc319151884</vt:lpstr>
      <vt:lpstr>Batteries!_Toc423599101</vt:lpstr>
      <vt:lpstr>'Biogas power plant (small)'!_Toc423599101</vt:lpstr>
      <vt:lpstr>'Biomass power plant (small)'!_Toc423599101</vt:lpstr>
      <vt:lpstr>CCGT!_Toc423599101</vt:lpstr>
      <vt:lpstr>'CCS - CCGT'!_Toc423599101</vt:lpstr>
      <vt:lpstr>'CCS - Supercritical coal'!_Toc423599101</vt:lpstr>
      <vt:lpstr>'Coal Subcritical'!_Toc423599101</vt:lpstr>
      <vt:lpstr>'Coal Supercritical'!_Toc423599101</vt:lpstr>
      <vt:lpstr>'Coal Ultra supercritical'!_Toc423599101</vt:lpstr>
      <vt:lpstr>'Diesel power plant'!_Toc423599101</vt:lpstr>
      <vt:lpstr>'Floating PV'!_Toc423599101</vt:lpstr>
      <vt:lpstr>'Geothermal - large'!_Toc423599101</vt:lpstr>
      <vt:lpstr>'Geothermal - small'!_Toc423599101</vt:lpstr>
      <vt:lpstr>'Hydro pumped storage'!_Toc423599101</vt:lpstr>
      <vt:lpstr>'Industrial PV'!_Toc423599101</vt:lpstr>
      <vt:lpstr>Landfill!_Toc423599101</vt:lpstr>
      <vt:lpstr>'Large hydro power plant'!_Toc423599101</vt:lpstr>
      <vt:lpstr>'Medium-small hydro power plant'!_Toc423599101</vt:lpstr>
      <vt:lpstr>'Mini-micro hydro power plant'!_Toc423599101</vt:lpstr>
      <vt:lpstr>'MSW incineration'!_Toc423599101</vt:lpstr>
      <vt:lpstr>'Rooftop PV'!_Toc423599101</vt:lpstr>
      <vt:lpstr>SCGT!_Toc423599101</vt:lpstr>
      <vt:lpstr>'Small wind onshore'!_Toc423599101</vt:lpstr>
      <vt:lpstr>'Tidal Impoundment'!_Toc423599101</vt:lpstr>
      <vt:lpstr>'Tidal Stream'!_Toc423599101</vt:lpstr>
      <vt:lpstr>'Wind Offshore'!_Toc423599101</vt:lpstr>
      <vt:lpstr>'Wind Onshore'!_Toc423599101</vt:lpstr>
      <vt:lpstr>Batteries!Print_Area</vt:lpstr>
      <vt:lpstr>'Biogas power plant (small)'!Print_Area</vt:lpstr>
      <vt:lpstr>'Biomass power plant (small)'!Print_Area</vt:lpstr>
      <vt:lpstr>CCGT!Print_Area</vt:lpstr>
      <vt:lpstr>'CCS - CCGT'!Print_Area</vt:lpstr>
      <vt:lpstr>'CCS - Supercritical coal'!Print_Area</vt:lpstr>
      <vt:lpstr>'Coal Subcritical'!Print_Area</vt:lpstr>
      <vt:lpstr>'Coal Supercritical'!Print_Area</vt:lpstr>
      <vt:lpstr>'Coal Ultra supercritical'!Print_Area</vt:lpstr>
      <vt:lpstr>'Diesel power plant'!Print_Area</vt:lpstr>
      <vt:lpstr>'Floating PV'!Print_Area</vt:lpstr>
      <vt:lpstr>'Geothermal - large'!Print_Area</vt:lpstr>
      <vt:lpstr>'Geothermal - small'!Print_Area</vt:lpstr>
      <vt:lpstr>'Hydro pumped storage'!Print_Area</vt:lpstr>
      <vt:lpstr>'Industrial PV'!Print_Area</vt:lpstr>
      <vt:lpstr>Landfill!Print_Area</vt:lpstr>
      <vt:lpstr>'Large hydro power plant'!Print_Area</vt:lpstr>
      <vt:lpstr>'Medium-small hydro power plant'!Print_Area</vt:lpstr>
      <vt:lpstr>'Mini-micro hydro power plant'!Print_Area</vt:lpstr>
      <vt:lpstr>'MSW incineration'!Print_Area</vt:lpstr>
      <vt:lpstr>'Rooftop PV'!Print_Area</vt:lpstr>
      <vt:lpstr>SCGT!Print_Area</vt:lpstr>
      <vt:lpstr>'Small wind onshore'!Print_Area</vt:lpstr>
      <vt:lpstr>'Tidal Impoundment'!Print_Area</vt:lpstr>
      <vt:lpstr>'Tidal Stream'!Print_Area</vt:lpstr>
      <vt:lpstr>'Wind Offshore'!Print_Area</vt:lpstr>
      <vt:lpstr>'Wind Onshore'!Print_Area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Bjarne Bach</dc:creator>
  <cp:keywords/>
  <dc:description/>
  <cp:lastModifiedBy>Thomas Kouroughli</cp:lastModifiedBy>
  <cp:revision/>
  <dcterms:created xsi:type="dcterms:W3CDTF">2017-04-12T08:07:17Z</dcterms:created>
  <dcterms:modified xsi:type="dcterms:W3CDTF">2023-07-03T13:58:45Z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0x01010083D5D4FB669C5A47858A672D778C1E53</vt:lpwstr>
  </property>
</Properties>
</file>